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18"/>
  <workbookPr codeName="ThisWorkbook"/>
  <mc:AlternateContent xmlns:mc="http://schemas.openxmlformats.org/markup-compatibility/2006">
    <mc:Choice Requires="x15">
      <x15ac:absPath xmlns:x15ac="http://schemas.microsoft.com/office/spreadsheetml/2010/11/ac" url="C:\Users\Karen\Documents\Karen business Food Fraud\VAT\"/>
    </mc:Choice>
  </mc:AlternateContent>
  <xr:revisionPtr revIDLastSave="0" documentId="13_ncr:1_{9377D943-E067-4246-86AE-9CE66F66F5D4}" xr6:coauthVersionLast="47" xr6:coauthVersionMax="47" xr10:uidLastSave="{00000000-0000-0000-0000-000000000000}"/>
  <bookViews>
    <workbookView xWindow="0" yWindow="0" windowWidth="23040" windowHeight="8532" tabRatio="799" xr2:uid="{00000000-000D-0000-FFFF-FFFF00000000}"/>
  </bookViews>
  <sheets>
    <sheet name="Introduction" sheetId="1" r:id="rId1"/>
    <sheet name="Scope worksheet" sheetId="20" r:id="rId2"/>
    <sheet name="Occurrence worksheet" sheetId="34" r:id="rId3"/>
    <sheet name="Detection worksheet" sheetId="35" r:id="rId4"/>
    <sheet name="Results section 1" sheetId="22" r:id="rId5"/>
    <sheet name="Results section 2" sheetId="23" r:id="rId6"/>
    <sheet name="Instructions" sheetId="13" r:id="rId7"/>
    <sheet name="About the method" sheetId="36" r:id="rId8"/>
    <sheet name="calc sheet" sheetId="4" state="veryHidden" r:id="rId9"/>
    <sheet name="risk matrix viewer" sheetId="33" state="veryHidden" r:id="rId10"/>
  </sheets>
  <definedNames>
    <definedName name="_xlnm._FilterDatabase" localSheetId="5" hidden="1">'Results section 2'!$B$87:$E$141</definedName>
    <definedName name="prescreenmatrix">'risk matrix viewer'!$P$33:$T$37</definedName>
    <definedName name="riskmatrix">'risk matrix viewer'!$F$14:$M$20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7" i="35" l="1"/>
  <c r="G16" i="35"/>
  <c r="C31" i="23" l="1"/>
  <c r="G10" i="35" l="1"/>
  <c r="F10" i="35"/>
  <c r="F19" i="35"/>
  <c r="F13" i="35"/>
  <c r="F12" i="35"/>
  <c r="F11" i="35"/>
  <c r="G10" i="34"/>
  <c r="G22" i="34" l="1"/>
  <c r="B3" i="23" l="1"/>
  <c r="F8" i="23" s="1"/>
  <c r="C90" i="23"/>
  <c r="C61" i="23"/>
  <c r="C88" i="23" l="1"/>
  <c r="C86" i="23"/>
  <c r="C84" i="23"/>
  <c r="C82" i="23"/>
  <c r="C80" i="23"/>
  <c r="C78" i="23"/>
  <c r="C76" i="23"/>
  <c r="C74" i="23"/>
  <c r="C72" i="23"/>
  <c r="C70" i="23"/>
  <c r="C68" i="23"/>
  <c r="C66" i="23"/>
  <c r="C59" i="23"/>
  <c r="C57" i="23"/>
  <c r="C55" i="23"/>
  <c r="C53" i="23"/>
  <c r="C51" i="23"/>
  <c r="C49" i="23"/>
  <c r="C47" i="23"/>
  <c r="C45" i="23"/>
  <c r="C43" i="23"/>
  <c r="C41" i="23"/>
  <c r="C39" i="23"/>
  <c r="C37" i="23"/>
  <c r="C35" i="23"/>
  <c r="B56" i="23"/>
  <c r="C33" i="23"/>
  <c r="G21" i="35" l="1"/>
  <c r="G20" i="35"/>
  <c r="G19" i="35"/>
  <c r="G18" i="35"/>
  <c r="G15" i="35"/>
  <c r="G14" i="35"/>
  <c r="G13" i="35"/>
  <c r="G12" i="35"/>
  <c r="G11" i="35"/>
  <c r="G22" i="35" l="1"/>
  <c r="B3" i="35"/>
  <c r="G24" i="34"/>
  <c r="G23" i="34"/>
  <c r="C23" i="34"/>
  <c r="G21" i="34"/>
  <c r="G20" i="34"/>
  <c r="G19" i="34"/>
  <c r="G18" i="34"/>
  <c r="G17" i="34"/>
  <c r="G16" i="34"/>
  <c r="G15" i="34"/>
  <c r="G14" i="34"/>
  <c r="G13" i="34"/>
  <c r="G12" i="34"/>
  <c r="G11" i="34"/>
  <c r="B3" i="34"/>
  <c r="G25" i="34" l="1"/>
  <c r="F25" i="34" s="1"/>
  <c r="I20" i="35"/>
  <c r="C85" i="23" s="1"/>
  <c r="I16" i="35"/>
  <c r="C77" i="23" s="1"/>
  <c r="I11" i="35"/>
  <c r="C67" i="23" s="1"/>
  <c r="I19" i="35"/>
  <c r="C83" i="23" s="1"/>
  <c r="I15" i="35"/>
  <c r="C75" i="23" s="1"/>
  <c r="I12" i="35"/>
  <c r="C69" i="23" s="1"/>
  <c r="I18" i="35"/>
  <c r="C81" i="23" s="1"/>
  <c r="I14" i="35"/>
  <c r="C73" i="23" s="1"/>
  <c r="I21" i="35"/>
  <c r="C87" i="23" s="1"/>
  <c r="I17" i="35"/>
  <c r="C79" i="23" s="1"/>
  <c r="I13" i="35"/>
  <c r="C71" i="23" s="1"/>
  <c r="H22" i="35"/>
  <c r="I10" i="35"/>
  <c r="C65" i="23" s="1"/>
  <c r="I15" i="34" l="1"/>
  <c r="C40" i="23" s="1"/>
  <c r="I13" i="34"/>
  <c r="C36" i="23" s="1"/>
  <c r="I12" i="34"/>
  <c r="C34" i="23" s="1"/>
  <c r="I10" i="34"/>
  <c r="C30" i="23" s="1"/>
  <c r="I11" i="34"/>
  <c r="C32" i="23" s="1"/>
  <c r="G26" i="34"/>
  <c r="I22" i="34" s="1"/>
  <c r="C54" i="23" s="1"/>
  <c r="I14" i="34"/>
  <c r="C38" i="23" s="1"/>
  <c r="I17" i="34"/>
  <c r="C44" i="23" s="1"/>
  <c r="I16" i="34"/>
  <c r="C42" i="23" s="1"/>
  <c r="H25" i="34"/>
  <c r="G27" i="34" s="1"/>
  <c r="H24" i="4" s="1"/>
  <c r="H25" i="4" s="1"/>
  <c r="F23" i="35"/>
  <c r="H23" i="35" s="1"/>
  <c r="G24" i="35"/>
  <c r="H28" i="4" s="1"/>
  <c r="H29" i="4" s="1"/>
  <c r="I19" i="34" l="1"/>
  <c r="C48" i="23" s="1"/>
  <c r="I24" i="34"/>
  <c r="C58" i="23" s="1"/>
  <c r="I24" i="33"/>
  <c r="I21" i="34"/>
  <c r="C52" i="23" s="1"/>
  <c r="I18" i="34"/>
  <c r="C46" i="23" s="1"/>
  <c r="H27" i="34"/>
  <c r="I26" i="34" s="1"/>
  <c r="C60" i="23" s="1"/>
  <c r="I23" i="34"/>
  <c r="C56" i="23" s="1"/>
  <c r="I20" i="34"/>
  <c r="C50" i="23" s="1"/>
  <c r="F26" i="34"/>
  <c r="L15" i="4"/>
  <c r="L34" i="4" s="1"/>
  <c r="K15" i="4"/>
  <c r="I23" i="35"/>
  <c r="C89" i="23" s="1"/>
  <c r="H28" i="33"/>
  <c r="F9" i="23" l="1"/>
  <c r="H29" i="33"/>
  <c r="F10" i="23"/>
  <c r="D18" i="20"/>
  <c r="C2" i="22" l="1"/>
  <c r="C13" i="22" s="1"/>
  <c r="C4" i="22"/>
  <c r="C3" i="22"/>
  <c r="B6" i="20"/>
  <c r="C14" i="22" l="1"/>
  <c r="B1" i="22" l="1"/>
  <c r="B13" i="22" l="1"/>
  <c r="C15" i="22"/>
  <c r="B21" i="20" l="1"/>
  <c r="B16" i="22" s="1"/>
  <c r="B15" i="22"/>
  <c r="B8" i="20" l="1"/>
  <c r="I15" i="4" l="1"/>
  <c r="I16" i="4"/>
  <c r="H17" i="4"/>
  <c r="L17" i="4"/>
  <c r="K18" i="4"/>
  <c r="J19" i="4"/>
  <c r="K16" i="4"/>
  <c r="I18" i="4"/>
  <c r="L19" i="4"/>
  <c r="H16" i="4"/>
  <c r="L16" i="4"/>
  <c r="K17" i="4"/>
  <c r="J18" i="4"/>
  <c r="J15" i="4"/>
  <c r="J33" i="4" s="1"/>
  <c r="J16" i="4"/>
  <c r="I17" i="4"/>
  <c r="H18" i="4"/>
  <c r="L18" i="4"/>
  <c r="K19" i="4"/>
  <c r="J17" i="4"/>
  <c r="H19" i="4"/>
  <c r="H15" i="4"/>
  <c r="I19" i="4"/>
  <c r="H25" i="33"/>
  <c r="H15" i="33" s="1"/>
  <c r="J34" i="4" l="1"/>
  <c r="L35" i="4"/>
  <c r="K18" i="33"/>
  <c r="J15" i="33"/>
  <c r="L16" i="33"/>
  <c r="H19" i="33"/>
  <c r="L15" i="33"/>
  <c r="H18" i="33"/>
  <c r="L17" i="33"/>
  <c r="I19" i="33"/>
  <c r="H16" i="33"/>
  <c r="I18" i="33"/>
  <c r="I17" i="33"/>
  <c r="H17" i="33"/>
  <c r="J18" i="33"/>
  <c r="I15" i="33"/>
  <c r="J17" i="33"/>
  <c r="K19" i="33"/>
  <c r="J16" i="33"/>
  <c r="J19" i="33"/>
  <c r="I16" i="33"/>
  <c r="K17" i="33"/>
  <c r="L19" i="33"/>
  <c r="K16" i="33"/>
  <c r="L18" i="33"/>
  <c r="K15" i="33"/>
  <c r="C6" i="22" l="1"/>
  <c r="C5" i="22"/>
  <c r="B17" i="22" l="1"/>
  <c r="E18" i="22" l="1"/>
  <c r="E19" i="22"/>
  <c r="E20" i="22"/>
  <c r="E21" i="22"/>
  <c r="E22" i="22"/>
  <c r="E23" i="22"/>
  <c r="E24" i="22"/>
  <c r="E25" i="22"/>
  <c r="E26" i="22"/>
  <c r="E27" i="22"/>
  <c r="E28" i="22"/>
  <c r="E29" i="22"/>
  <c r="E30" i="22"/>
  <c r="E31" i="22"/>
  <c r="E32" i="22"/>
  <c r="E33" i="22"/>
  <c r="E34" i="22"/>
  <c r="E35" i="22"/>
  <c r="E36" i="22"/>
  <c r="E37" i="22"/>
  <c r="D18" i="22"/>
  <c r="D19" i="22"/>
  <c r="D20" i="22"/>
  <c r="D21" i="22"/>
  <c r="D22" i="22"/>
  <c r="D23" i="22"/>
  <c r="D24" i="22"/>
  <c r="D25" i="22"/>
  <c r="D26" i="22"/>
  <c r="D27" i="22"/>
  <c r="D28" i="22"/>
  <c r="D29" i="22"/>
  <c r="D30" i="22"/>
  <c r="D31" i="22"/>
  <c r="D32" i="22"/>
  <c r="D33" i="22"/>
  <c r="D34" i="22"/>
  <c r="D35" i="22"/>
  <c r="D36" i="22"/>
  <c r="D37" i="22"/>
  <c r="C18" i="22"/>
  <c r="C19" i="22"/>
  <c r="C20" i="22"/>
  <c r="C21" i="22"/>
  <c r="C22" i="22"/>
  <c r="C23" i="22"/>
  <c r="C24" i="22"/>
  <c r="C25" i="22"/>
  <c r="C26" i="22"/>
  <c r="C27" i="22"/>
  <c r="C28" i="22"/>
  <c r="C29" i="22"/>
  <c r="C30" i="22"/>
  <c r="C31" i="22"/>
  <c r="C32" i="22"/>
  <c r="C33" i="22"/>
  <c r="C34" i="22"/>
  <c r="C35" i="22"/>
  <c r="C36" i="22"/>
  <c r="C37" i="22"/>
  <c r="C17" i="22"/>
  <c r="D17" i="22"/>
  <c r="E17" i="22"/>
  <c r="B18" i="22"/>
  <c r="B19" i="22"/>
  <c r="B20" i="22"/>
  <c r="B21" i="22"/>
  <c r="B22" i="22"/>
  <c r="B23" i="22"/>
  <c r="B24" i="22"/>
  <c r="B25" i="22"/>
  <c r="B26" i="22"/>
  <c r="B27" i="22"/>
  <c r="B28" i="22"/>
  <c r="B29" i="22"/>
  <c r="B30" i="22"/>
  <c r="B31" i="22"/>
  <c r="B32" i="22"/>
  <c r="B33" i="22"/>
  <c r="B34" i="22"/>
  <c r="B35" i="22"/>
  <c r="B36" i="22"/>
  <c r="B37" i="22"/>
  <c r="C13" i="20"/>
  <c r="C14" i="20" s="1"/>
  <c r="C8" i="22" l="1"/>
  <c r="C7" i="22"/>
  <c r="G18" i="23" l="1"/>
  <c r="H20" i="23"/>
  <c r="G17" i="23"/>
  <c r="H19" i="23"/>
  <c r="G16" i="23"/>
  <c r="D18" i="23"/>
  <c r="E17" i="23"/>
  <c r="I35" i="4"/>
  <c r="E20" i="23"/>
  <c r="E19" i="23"/>
  <c r="G19" i="23"/>
  <c r="F19" i="23"/>
  <c r="F18" i="23"/>
  <c r="F17" i="23"/>
  <c r="H18" i="23"/>
  <c r="H17" i="23"/>
  <c r="D20" i="23"/>
  <c r="H16" i="23"/>
  <c r="D19" i="23"/>
  <c r="F20" i="23"/>
  <c r="D17" i="23"/>
  <c r="D16" i="23"/>
  <c r="E18" i="23"/>
  <c r="F16" i="23"/>
  <c r="E16" i="23"/>
  <c r="G20" i="23"/>
  <c r="H33" i="4" l="1"/>
  <c r="K35" i="4"/>
  <c r="K34" i="4"/>
  <c r="I34" i="4"/>
  <c r="I33" i="4"/>
  <c r="H34" i="4"/>
  <c r="J35" i="4"/>
  <c r="H38" i="4" l="1"/>
  <c r="F11" i="23" l="1"/>
</calcChain>
</file>

<file path=xl/sharedStrings.xml><?xml version="1.0" encoding="utf-8"?>
<sst xmlns="http://schemas.openxmlformats.org/spreadsheetml/2006/main" count="455" uniqueCount="294">
  <si>
    <t>This page is designed for easy reading, not for printing.  If you really want to print it, use landscape orientation, narrow margins and choose scaling 'fit sheet to one page', it will be readable</t>
  </si>
  <si>
    <t>Vulnerability Assessment for Food Fraud</t>
  </si>
  <si>
    <t>Insert name of material or material group here</t>
  </si>
  <si>
    <t>Company name</t>
  </si>
  <si>
    <t>Type the name of the food business here</t>
  </si>
  <si>
    <t>Site(s) for this assessment</t>
  </si>
  <si>
    <t>Prepared by</t>
  </si>
  <si>
    <t>Insert your name here</t>
  </si>
  <si>
    <t>Insert your job title here</t>
  </si>
  <si>
    <t>Date</t>
  </si>
  <si>
    <t>Review due date</t>
  </si>
  <si>
    <t>Materials included in this assessment</t>
  </si>
  <si>
    <t>Back to Instructions page</t>
  </si>
  <si>
    <t>Name of group</t>
  </si>
  <si>
    <t>Description of group</t>
  </si>
  <si>
    <t>Type a description of the group of materials here</t>
  </si>
  <si>
    <t>Used in these products</t>
  </si>
  <si>
    <t>Briefly describe product range/s that contain this ingredient or raw material</t>
  </si>
  <si>
    <t>add material names</t>
  </si>
  <si>
    <t>Vulnerability Assessment; likelihood of occurrence</t>
  </si>
  <si>
    <t>Likelihood of food fraud affecting this ingredient or raw material</t>
  </si>
  <si>
    <t>Element</t>
  </si>
  <si>
    <t>Question</t>
  </si>
  <si>
    <t>Help</t>
  </si>
  <si>
    <t>Your 
answer</t>
  </si>
  <si>
    <t>Results</t>
  </si>
  <si>
    <t>Your Comments</t>
  </si>
  <si>
    <t>L1</t>
  </si>
  <si>
    <t>Historic incidents</t>
  </si>
  <si>
    <t>Is this material one that has been implicated in previous incidences of food fraud?</t>
  </si>
  <si>
    <t>Info (link to webpage)</t>
  </si>
  <si>
    <t>yes many incidences=5, a few incidences=3, no=0</t>
  </si>
  <si>
    <t>L2</t>
  </si>
  <si>
    <t>Emerging concerns</t>
  </si>
  <si>
    <t>Have there been any recent alerts or news about food fraud for this material?</t>
  </si>
  <si>
    <t>yes=1, no=0</t>
  </si>
  <si>
    <t>L3</t>
  </si>
  <si>
    <t>Size of market</t>
  </si>
  <si>
    <t>Does the international market for this material have a large monetary value?</t>
  </si>
  <si>
    <t>Info</t>
  </si>
  <si>
    <t>yes very large=1, somewhat large=0.5, no=0</t>
  </si>
  <si>
    <t>L4</t>
  </si>
  <si>
    <t>Price</t>
  </si>
  <si>
    <t>Is this an expensive material?</t>
  </si>
  <si>
    <t>yes very expensive=1, somewhat expensive=0.5, no=0</t>
  </si>
  <si>
    <t>L5</t>
  </si>
  <si>
    <t>Price fluctuations</t>
  </si>
  <si>
    <t>Is the price of this material subject to frequent, large fluctuations?</t>
  </si>
  <si>
    <t>L6</t>
  </si>
  <si>
    <t>Trading properties</t>
  </si>
  <si>
    <t>Is this material traded on specific properties such as nitrogen content?</t>
  </si>
  <si>
    <t>L7</t>
  </si>
  <si>
    <t>Geographic origins</t>
  </si>
  <si>
    <t>Is this material sourced from countries or regions that are politically unstable or very poor?</t>
  </si>
  <si>
    <t>L8</t>
  </si>
  <si>
    <t xml:space="preserve">Seasonal availability </t>
  </si>
  <si>
    <t>Is this material subject to seasonal supply issues (separately to price)?</t>
  </si>
  <si>
    <t>L9</t>
  </si>
  <si>
    <t>Direct sourcing</t>
  </si>
  <si>
    <t xml:space="preserve">Is this material sourced directly from the manufacturer or grower? </t>
  </si>
  <si>
    <t>yes=0, no=1</t>
  </si>
  <si>
    <t>L10</t>
  </si>
  <si>
    <t>Complexity of supply chain</t>
  </si>
  <si>
    <t>Do you consider the supply chain of this material to be complex and/or long?</t>
  </si>
  <si>
    <t>yes very complex and/or long=1, somewhat complex=0.5, no=0</t>
  </si>
  <si>
    <t>L11</t>
  </si>
  <si>
    <t>Ease of access to material</t>
  </si>
  <si>
    <t>Is the supply chain of a type that allows multiple points of entry for fraudulent material?</t>
  </si>
  <si>
    <t>yes many entry points=1, some entry points=0.5, no=0</t>
  </si>
  <si>
    <t>L12</t>
  </si>
  <si>
    <t>Availability of adulterants or substitutes</t>
  </si>
  <si>
    <t>Are there easily available adulterants or substitutes for this material?</t>
  </si>
  <si>
    <t>L13</t>
  </si>
  <si>
    <t>Complexity and cost of committing fraud</t>
  </si>
  <si>
    <t>Would this material be cheap and simple to fraudulently adulterate, substitute, dilute or misrepresent?</t>
  </si>
  <si>
    <t>yes very cheap and simple=1, somewhat cheap and simple=0.5, no=0</t>
  </si>
  <si>
    <t>L14</t>
  </si>
  <si>
    <t>Is this material purchased in whole discrete pieces rather than as a powder, liquid, mince, paste, pre-mix, slurry or blend?</t>
  </si>
  <si>
    <t>yes=0, no=2</t>
  </si>
  <si>
    <t>L15</t>
  </si>
  <si>
    <t>Special criteria</t>
  </si>
  <si>
    <t>Are there special criteria for this material such as halal, organic?</t>
  </si>
  <si>
    <t>Score</t>
  </si>
  <si>
    <t>Hidden cell</t>
  </si>
  <si>
    <t>L16</t>
  </si>
  <si>
    <t>Likelihood
(Calculated)</t>
  </si>
  <si>
    <t>An automatically generated likelihood</t>
  </si>
  <si>
    <t>Very unlikely,Unlikely,Fairly likely,Likely,Very likely/certain</t>
  </si>
  <si>
    <t>Type your comments about food fraud affecting this material here</t>
  </si>
  <si>
    <t>L17</t>
  </si>
  <si>
    <t>User estimate of likelihood</t>
  </si>
  <si>
    <t xml:space="preserve">Choose your own estimate of likelihood that food fraud will affect this material prior to arrival at your facility </t>
  </si>
  <si>
    <t>Forward to Detection worksheet</t>
  </si>
  <si>
    <t>Vulnerability Assessment; likelihood of detection</t>
  </si>
  <si>
    <t>Likelihood that food fraud would be detected in this ingredient or raw material</t>
  </si>
  <si>
    <t>hidden</t>
  </si>
  <si>
    <t>D1</t>
  </si>
  <si>
    <t>Geographic origin</t>
  </si>
  <si>
    <t>D2</t>
  </si>
  <si>
    <t xml:space="preserve">Is this ingredient sourced directly from the manufacturer or grower? </t>
  </si>
  <si>
    <t>D3</t>
  </si>
  <si>
    <t>yes, very complex or long=1, somewhat complex=0.5, no=0</t>
  </si>
  <si>
    <t>D4</t>
  </si>
  <si>
    <t>Form of ingredient</t>
  </si>
  <si>
    <t>Is this ingredient purchased in whole discrete pieces rather than as a powder, liquid, mince, paste, pre-mix, slurry or blend?</t>
  </si>
  <si>
    <t>D5</t>
  </si>
  <si>
    <t>Supply chain audits</t>
  </si>
  <si>
    <t>Is the supply chain audited by your business or by third parties?</t>
  </si>
  <si>
    <t>yes all suppliers are audited=0, some suppliers are audited 0.5, no=1</t>
  </si>
  <si>
    <t>D6</t>
  </si>
  <si>
    <t>Routine testing</t>
  </si>
  <si>
    <t>Is this material subjected to routine authenticity tests?</t>
  </si>
  <si>
    <t>D7</t>
  </si>
  <si>
    <t>Frequency of testing</t>
  </si>
  <si>
    <t>Is the authenticity testing of an appropriate frequency</t>
  </si>
  <si>
    <t>yes=0, no=1, not applicable = 1</t>
  </si>
  <si>
    <t>D8</t>
  </si>
  <si>
    <t>Testing likelihood of detection</t>
  </si>
  <si>
    <t>Are the authenticity tests likely to detect adulteration or substitution?</t>
  </si>
  <si>
    <t>yes very likely=0, somewhat likely=0.5, no=1, not applicable=1</t>
  </si>
  <si>
    <t>D9</t>
  </si>
  <si>
    <t>Packaging</t>
  </si>
  <si>
    <t>Is the product supplied in tamper-evident packaging or in secure bulk-handling containers?</t>
  </si>
  <si>
    <t>always=0, sometimes=0.5, never=1</t>
  </si>
  <si>
    <t>D10</t>
  </si>
  <si>
    <t>D11</t>
  </si>
  <si>
    <t>Relevant audits</t>
  </si>
  <si>
    <t xml:space="preserve">Is the supplier/s of this material subject to relevant audits, ie those which consider adulteration, traceability, mass balance and testing? </t>
  </si>
  <si>
    <t>yes all suppliers=0, yes some suppliers 0.5, no=1</t>
  </si>
  <si>
    <t>D12</t>
  </si>
  <si>
    <t>If there are special criteria are they tested for and/or properly certified?</t>
  </si>
  <si>
    <t>hidden row</t>
  </si>
  <si>
    <t>D13</t>
  </si>
  <si>
    <t>Likelihood of detection
Calculated</t>
  </si>
  <si>
    <t>Type your comments about the likelihood that food fraud would be detected for this material here</t>
  </si>
  <si>
    <t>D14</t>
  </si>
  <si>
    <t>User estimate of likelihood of detection</t>
  </si>
  <si>
    <t>Enter your own estimate here</t>
  </si>
  <si>
    <t>View and print results</t>
  </si>
  <si>
    <t>Material</t>
  </si>
  <si>
    <t>Site(s)</t>
  </si>
  <si>
    <t>Purpose and scope</t>
  </si>
  <si>
    <t>This is an assessment of vulnerability to food fraud, including economically motivated adulteration, substitution or dilution for the ingredient(s) and/or raw material(s) listed below.  It assesses vulnerabilities prior to receipt and use of the material, it does not address vulnerabilities within this facility.</t>
  </si>
  <si>
    <t>Description</t>
  </si>
  <si>
    <t>Summary</t>
  </si>
  <si>
    <t>Likelihood of occurrence of food fraud</t>
  </si>
  <si>
    <t>Likelihood of detection of food fraud</t>
  </si>
  <si>
    <t>Vulnerability Estimate</t>
  </si>
  <si>
    <t xml:space="preserve">Food safety warning: adulteration or substitution of any ingredient means a risk to food safety </t>
  </si>
  <si>
    <t>Very unlikely</t>
  </si>
  <si>
    <t>Unlikely</t>
  </si>
  <si>
    <t>Fairly likely</t>
  </si>
  <si>
    <t>Likely</t>
  </si>
  <si>
    <t>Very likely/
certain</t>
  </si>
  <si>
    <t>Very likely/certain</t>
  </si>
  <si>
    <t>Unlikely/remote</t>
  </si>
  <si>
    <t>Key</t>
  </si>
  <si>
    <t>Red areas = high risk; urgent action is required and regular monitoring may be needed</t>
  </si>
  <si>
    <t>Yellow areas = medium risk: action is needed with occasional monitoring to mitigate the risk</t>
  </si>
  <si>
    <t>Green areas = low risk</t>
  </si>
  <si>
    <t>How this conclusion was reached</t>
  </si>
  <si>
    <t>Assessment of likelihood that food fraud will affect this material</t>
  </si>
  <si>
    <t>Likelihood of occurrence</t>
  </si>
  <si>
    <t>Assessment of the likelihood that food fraud would be detected</t>
  </si>
  <si>
    <t>Likelihood of detection</t>
  </si>
  <si>
    <t>Instructions</t>
  </si>
  <si>
    <t>Food Fraud Advisors 2018</t>
  </si>
  <si>
    <t>Step 1
1 minute</t>
  </si>
  <si>
    <r>
      <rPr>
        <b/>
        <sz val="11"/>
        <color rgb="FF000000"/>
        <rFont val="Calibri"/>
        <family val="2"/>
        <scheme val="minor"/>
      </rPr>
      <t>Perform a ‘Save As’</t>
    </r>
    <r>
      <rPr>
        <sz val="11"/>
        <color rgb="FF000000"/>
        <rFont val="Calibri"/>
        <family val="2"/>
        <scheme val="minor"/>
      </rPr>
      <t xml:space="preserve"> to create a new copy of this spreadsheet with a new name.   Always keep a blank copy on hand for next time.</t>
    </r>
  </si>
  <si>
    <t>Use one spreadsheet per material or material group. Make a new excel spreadsheet file for each material or material group.</t>
  </si>
  <si>
    <t>Step 2
2 minutes</t>
  </si>
  <si>
    <r>
      <rPr>
        <b/>
        <sz val="11"/>
        <color rgb="FF000000"/>
        <rFont val="Calibri"/>
        <family val="2"/>
        <scheme val="minor"/>
      </rPr>
      <t xml:space="preserve">Enter some basic information: </t>
    </r>
    <r>
      <rPr>
        <sz val="11"/>
        <color rgb="FF000000"/>
        <rFont val="Calibri"/>
        <family val="2"/>
        <scheme val="minor"/>
      </rPr>
      <t xml:space="preserve"> Go to the </t>
    </r>
    <r>
      <rPr>
        <i/>
        <sz val="11"/>
        <color rgb="FF000000"/>
        <rFont val="Calibri"/>
        <family val="2"/>
        <scheme val="minor"/>
      </rPr>
      <t>Scope Worksheet</t>
    </r>
    <r>
      <rPr>
        <sz val="11"/>
        <color rgb="FF000000"/>
        <rFont val="Calibri"/>
        <family val="2"/>
        <scheme val="minor"/>
      </rPr>
      <t xml:space="preserve"> (click the tab labelled </t>
    </r>
    <r>
      <rPr>
        <i/>
        <sz val="11"/>
        <color rgb="FF000000"/>
        <rFont val="Calibri"/>
        <family val="2"/>
        <scheme val="minor"/>
      </rPr>
      <t>Scope Worksheet</t>
    </r>
    <r>
      <rPr>
        <sz val="11"/>
        <color rgb="FF000000"/>
        <rFont val="Calibri"/>
        <family val="2"/>
        <scheme val="minor"/>
      </rPr>
      <t xml:space="preserve"> at the bottom of your screen or the link to your right) .  Type the name of the material you will be assessing, your name and job role and the date into the boxes in the worksheet.</t>
    </r>
  </si>
  <si>
    <t>take me to the Scope worksheet</t>
  </si>
  <si>
    <t>Describe the material group, then list the materials which are included in this group, plus their codes if desired.</t>
  </si>
  <si>
    <t>Step 3
20 minutes</t>
  </si>
  <si>
    <r>
      <rPr>
        <b/>
        <sz val="11"/>
        <color rgb="FF000000"/>
        <rFont val="Calibri"/>
        <family val="2"/>
        <scheme val="minor"/>
      </rPr>
      <t xml:space="preserve">Answer questions in the </t>
    </r>
    <r>
      <rPr>
        <b/>
        <i/>
        <sz val="11"/>
        <color rgb="FF000000"/>
        <rFont val="Calibri"/>
        <family val="2"/>
        <scheme val="minor"/>
      </rPr>
      <t>Occurrence Worksheet</t>
    </r>
    <r>
      <rPr>
        <sz val="11"/>
        <color rgb="FF000000"/>
        <rFont val="Calibri"/>
        <family val="2"/>
        <scheme val="minor"/>
      </rPr>
      <t xml:space="preserve"> to estimate the likelihood of food fraud affecting the material.  Choose answers from the dropdown lists provided and add comments if desired.  This information will be used to estimate the likelihood of food fraud affecting the material. 
If you disagree with the calculated estimate, there is space to add your own instead.  The user's estimate always overrides the calculated estimate to produce the final result.</t>
    </r>
  </si>
  <si>
    <t>take me to the Occurrence worksheet</t>
  </si>
  <si>
    <t>Step 4
5 minutes</t>
  </si>
  <si>
    <r>
      <rPr>
        <b/>
        <sz val="11"/>
        <color rgb="FF000000"/>
        <rFont val="Calibri"/>
        <family val="2"/>
        <scheme val="minor"/>
      </rPr>
      <t xml:space="preserve">Answer questions in the </t>
    </r>
    <r>
      <rPr>
        <b/>
        <i/>
        <sz val="11"/>
        <color rgb="FF000000"/>
        <rFont val="Calibri"/>
        <family val="2"/>
        <scheme val="minor"/>
      </rPr>
      <t>Detection Worksheet</t>
    </r>
    <r>
      <rPr>
        <b/>
        <sz val="11"/>
        <color rgb="FF000000"/>
        <rFont val="Calibri"/>
        <family val="2"/>
        <scheme val="minor"/>
      </rPr>
      <t xml:space="preserve"> </t>
    </r>
    <r>
      <rPr>
        <sz val="11"/>
        <color rgb="FF000000"/>
        <rFont val="Calibri"/>
        <family val="2"/>
        <scheme val="minor"/>
      </rPr>
      <t>to estimate the likelihood that food fraud would be detected for the material being assessed.  Choose answers from the dropdown lists provided and add comments if desired.  This information will be used to determine the likelihood of detection if food fraud was to affect the material.   
If you are unsure of an answer, just insert your best guess; you can come back later when you have more information.</t>
    </r>
  </si>
  <si>
    <t>take me to the Detection worksheet</t>
  </si>
  <si>
    <t>Avoid using the excel 'CUT' function in the worksheets.  Copy and paste is fine.</t>
  </si>
  <si>
    <t>Step 5
View results</t>
  </si>
  <si>
    <r>
      <t xml:space="preserve">The answers that were entered in the </t>
    </r>
    <r>
      <rPr>
        <i/>
        <sz val="11"/>
        <color rgb="FF000000"/>
        <rFont val="Calibri"/>
        <family val="2"/>
        <scheme val="minor"/>
      </rPr>
      <t>Occurrence Worksheet</t>
    </r>
    <r>
      <rPr>
        <sz val="11"/>
        <color rgb="FF000000"/>
        <rFont val="Calibri"/>
        <family val="2"/>
        <scheme val="minor"/>
      </rPr>
      <t xml:space="preserve"> and </t>
    </r>
    <r>
      <rPr>
        <i/>
        <sz val="11"/>
        <color rgb="FF000000"/>
        <rFont val="Calibri"/>
        <family val="2"/>
        <scheme val="minor"/>
      </rPr>
      <t>Detection Worksheet</t>
    </r>
    <r>
      <rPr>
        <sz val="11"/>
        <color rgb="FF000000"/>
        <rFont val="Calibri"/>
        <family val="2"/>
        <scheme val="minor"/>
      </rPr>
      <t xml:space="preserve"> automatically populate a risk matrix that shows the overall vulnerability of the material. 
</t>
    </r>
    <r>
      <rPr>
        <b/>
        <sz val="11"/>
        <color rgb="FF000000"/>
        <rFont val="Calibri"/>
        <family val="2"/>
        <scheme val="minor"/>
      </rPr>
      <t>View and print results</t>
    </r>
    <r>
      <rPr>
        <sz val="11"/>
        <color rgb="FF000000"/>
        <rFont val="Calibri"/>
        <family val="2"/>
        <scheme val="minor"/>
      </rPr>
      <t xml:space="preserve"> for the material by going to the Results sheets (click on the tabs at the bottom of your screen).  There are two sheets of results.  Section 1 contains purpose, scope and author information.  Section 2 contains the risk assessment results, including the risk matrix and the information used to determine the results.  These sheets are formatted for printing to paper or pdf for your audit.</t>
    </r>
  </si>
  <si>
    <t>Show me the results</t>
  </si>
  <si>
    <t>Questions?</t>
  </si>
  <si>
    <t>Got questions? </t>
  </si>
  <si>
    <t>FAQ 
(link to website)</t>
  </si>
  <si>
    <t>Click here for answers to frequently asked questions (FAQ) and to access on-line support.</t>
  </si>
  <si>
    <t>What next?</t>
  </si>
  <si>
    <t>Now I have a vulnerability assessment.  What comes next?</t>
  </si>
  <si>
    <t>What next?
(external link)</t>
  </si>
  <si>
    <t>Feedback</t>
  </si>
  <si>
    <t>Send us your thoughts using this contact form</t>
  </si>
  <si>
    <t>… Or post your comments and discuss your results with other users on our Facebook page</t>
  </si>
  <si>
    <t>Help with likelihood of occurrence</t>
  </si>
  <si>
    <t>Materials that have markets with large monetary values are those that are traded in very large quantities across many countries or materials that are very expensive.  Tea, coffee, cocoa, sugar all have markets with a large monetary value.</t>
  </si>
  <si>
    <t>Use the following as a guide for ingredients and raw materials:  If the purchase price is more than USD20 per kg or USD20,000 per metric tonne or EUR18 per kg or 18,000 per metric tonne answer ‘yes very expensive’.  If the purchase price is less than EUR600 or USD650 per metric tonne, answer ‘no’.</t>
  </si>
  <si>
    <t>Ingredients and raw materials that are traded on specific properties are those for which the price is dependent on the content of water, dairy fat, nitrogen (protein), cocoa solids or some other key component. Answer ‘yes’ here if your business pays a price that is dependent on a specific property of the material or if your supplier(s) pay a price depends on a property of the material, even if your business pays a flat rate.
If you are unsure, speak to your purchasing officer.</t>
  </si>
  <si>
    <t>Answer ‘yes’ for this question if this ingredient or raw material originates in a country that is politically unstable or very poor.  The Global Food Security Index (http://foodsecurityindex.eiu.com/) has specific information about food quality and food safety issues in 113 countries.</t>
  </si>
  <si>
    <t>Seasonal availability</t>
  </si>
  <si>
    <t xml:space="preserve">Answer 'yes' for this question if this material is affected by seasonal supply issues, separately to price.  For example, if you or your suppliers need to source the material from a different country during different times of the year, or if the characteristics of the material change significantly in different seasons; perhaps the sugar content is lower in July, for example. </t>
  </si>
  <si>
    <t>Answer ‘yes’ for this question if your business purchases this ingredient or raw material directly from the business that manufactures it, grows it or slaughters it.  For fish and seafood, answer ‘yes’ if you purchase from the business that is the first on-shore processing facility.  Answer ‘no’ if the material is purchased from a distributor or importer, trader, broker, wholesaler or retailer.</t>
  </si>
  <si>
    <t xml:space="preserve"> </t>
  </si>
  <si>
    <t>Do you consider the supply chain of this material to be complex and/or long?  An example of a short supply chain is wheat flour purchased directly from a flour mill that processes locally grown wheat.  A complex supply chain is one that involves many different businesses handling, processing, storing and transporting a product and its component parts.   Most imported materials have a long and complex supply chain.  Most processed food products have long and complex supply chains.</t>
  </si>
  <si>
    <t>Is the supply chain of a type that allows multiple points of entry for fraudulent material?  Entry points for fraudulent materials are points in the supply chain at which a motivated person could adulterate or dilute the material or substitute an inauthentic material in its place.  These points are most likely to be places where the material is blended, mixed, ground or where it is stored or transported in a manner that would allow a motivated person to easily gain access to the material.</t>
  </si>
  <si>
    <t xml:space="preserve">An example of a material that has easily available adulterants is honey, which can be adulterated with water, sugar syrups and invert syrups, all of which are easy to obtain.  Ground beef can be adulterated with cow offal or horse meat (for example), both of which are easy to obtain in some parts of the world. </t>
  </si>
  <si>
    <t>Answer ‘yes’ for this question if the material would be cheap and simple to fraudulently adulterate, substitute, dilute or misrepresent.</t>
  </si>
  <si>
    <t>Form of material</t>
  </si>
  <si>
    <r>
      <t>Answer ‘yes’ for this question</t>
    </r>
    <r>
      <rPr>
        <i/>
        <sz val="11"/>
        <rFont val="Arial"/>
        <family val="2"/>
      </rPr>
      <t> </t>
    </r>
    <r>
      <rPr>
        <sz val="11"/>
        <rFont val="Arial"/>
        <family val="2"/>
      </rPr>
      <t xml:space="preserve">if the ingredient or raw material is purchased by your company in individual pieces which can be visually identified as such.  Examples include chickpeas, whole peppers, chicken wings, bananas, frozen berries, rolled oats, coffee beans, whole cloves.  If this material is purchased as a powder, liquid, mince, paste, pre-mix, slurry or blend then answer ‘no’.  If you are performing an assessment of a mixed food product, such as a cheese sandwich or a berry pie, answer 'no'. </t>
    </r>
  </si>
  <si>
    <t>Special criteria</t>
  </si>
  <si>
    <t>Answer ‘yes’ for this question if there are special criteria for this product, ingredient or raw material.  Examples include (but are not limited to) halal, organic, non-GMO, grass-fed, free-range, fair trade, extra virgin, cold-pressed, kosher, dolphin-friendly.</t>
  </si>
  <si>
    <t>Likelihood of occurrence results</t>
  </si>
  <si>
    <t xml:space="preserve">This is an estimate of the likelihood of food fraud affecting this material prior to its receipt into your facility.  If you disagree with the results, progress to the row below (L17) and choose your estimate from the dropdown list.  Your estimate will be used for the overall risk rating.  If you agree with the calculated results there is no need to add your own estimate.   </t>
  </si>
  <si>
    <t>Help with detection worksheet</t>
  </si>
  <si>
    <t>Answer ‘yes all suppliers are audited’ in the Vulnerability Assessment Tool if you know that all the suppliers from whom you purchase this material and their suppliers are audited by your business or by third parties.  Suppliers that have been successfully audited by third parties will have current certificates of conformance to food safety standards; for example they will be ‘BRC certified’ or ‘SQF certified’.</t>
  </si>
  <si>
    <t>A routine authenticity test is a test carried out on a regular, defined basis by your business, a trusted supplier or a third party to determine whether the material is ‘authentic’.  An authentic food or food ingredient is one that is what it is claimed to be.  That is, if the material is claimed to be olive oil, an authenticity test would confirm that the oil has been made from olives; if the material is claimed to be Spanish olive oil, authenticity testing would check that the chemical profile of the oil matches those of Spanish olives; if the material is claimed to be virgin Spanish olive oil, the testing would check for the origin, the species and whether the oil is virgin.  If testing has occurred but it is occasional, ad-hoc or one-off then it is not considered routine and you should answer ‘no’ at this question.</t>
  </si>
  <si>
    <t>Is the authenticity testing of an appropriate frequency?  If routine authenticity testing does not occur, answer ‘not applicable’.  If routine testing does occur, it is difficult to know whether the frequency is appropriate, even if fraudulent material has previously been detected during routine testing.  Materials that are very susceptible to food fraud – that is the likelihood of occurrence is ‘very likely’ or ‘likely’ – should have a very high testing frequency; testing per batch of incoming goods is best practice.  An appropriate frequency of testing for a less vulnerable material could be based on testing one in five incoming batches.</t>
  </si>
  <si>
    <t>Is the supplier of this material subject to relevant audits?  Relevant audits are those which consider adulteration, traceability, mass balance, supplier approvals and authenticity testing.  Audits to GFSI food safety standards are ‘relevant’.  Most other food safety management standards adequately address traceability requirements, and some also consider adulteration and mass balance.  You will need to check the applicable standards or audit reports to determine if the supplier audits are considered ‘relevant’ according to this question.</t>
  </si>
  <si>
    <t>If there are special criteria are they tested for and/or properly certified?  Special criteria include organic status, halal, vegetarian, gluten-free, non-GMO and origin claims such as ‘Spanish olives’.  If there are no special criteria for this material answer ‘not applicable’.  Otherwise, answer according to whether or not those criteria are verified with testing and/or certifications.</t>
  </si>
  <si>
    <t>Estimate of likelihood of detection</t>
  </si>
  <si>
    <r>
      <t>The </t>
    </r>
    <r>
      <rPr>
        <i/>
        <sz val="11"/>
        <rFont val="Arial"/>
        <family val="2"/>
      </rPr>
      <t>Vulnerability Assessment Tool</t>
    </r>
    <r>
      <rPr>
        <sz val="11"/>
        <rFont val="Arial"/>
        <family val="2"/>
      </rPr>
      <t> can help you to make an estimate of how likely it is that food fraud would be detected in a material or ingredient.  No matter what answer the </t>
    </r>
    <r>
      <rPr>
        <i/>
        <sz val="11"/>
        <rFont val="Arial"/>
        <family val="2"/>
      </rPr>
      <t>tool</t>
    </r>
    <r>
      <rPr>
        <sz val="11"/>
        <rFont val="Arial"/>
        <family val="2"/>
      </rPr>
      <t> calculates, you, with advice from other experts within the business should carefully consider the evidence and make your own choice.  Add your own choice to the row D14 ‘User rating’.  The overall vulnerability rating is determined with the ‘User rating’; if a user rating has been entered it will override the calculated result.</t>
    </r>
  </si>
  <si>
    <t>Possible impacts of food fraud:</t>
  </si>
  <si>
    <t>Food safety risks: any adulteration, substitution or dilution of an ingredient should be treated as a serious food safety issue as a first priority.   There can be direct food safety risks to consumers from contaminated adulterants, allergenic adulterants or unhygienic handling of the ingredient during any adulteration or substitution.  There can also be an indirect food safety risk to consumers from adulterants that cause chronic disease, or are carcinogenic or are lacking in nutrients that should be present in an authentic product.</t>
  </si>
  <si>
    <t>Loss of consumer trust: problems with your product or product group can be catastrophic for your brand.</t>
  </si>
  <si>
    <t>Indirect risks: adulteration, substitution or dilution of an ingredient indicates a flaw in the traceability of your product, which means non-compliance with the requirements of food safety standards and regulations.</t>
  </si>
  <si>
    <t>There are financial risks associated with any incidence of food fraud.  If your company has a Risk Officer or an Enterprise Risk Management Plan the relevant persons should be informed of the results of your vulnerability assessment and consulted about how to prioritise the prevention and mitigation planning that should be done for materials that are found to be medium or high risk in their vulnerability assessment.</t>
  </si>
  <si>
    <r>
      <t xml:space="preserve">About Food Fraud Advisors' </t>
    </r>
    <r>
      <rPr>
        <b/>
        <i/>
        <sz val="14"/>
        <color rgb="FF000000"/>
        <rFont val="Arial"/>
        <family val="2"/>
      </rPr>
      <t>Vulnerability Assessment Tool (BRC Method)</t>
    </r>
  </si>
  <si>
    <t>Table of contents</t>
  </si>
  <si>
    <t>Methodology</t>
  </si>
  <si>
    <t>Descriptors</t>
  </si>
  <si>
    <t>Calculations</t>
  </si>
  <si>
    <t>Risk ratings</t>
  </si>
  <si>
    <t>References</t>
  </si>
  <si>
    <t xml:space="preserve">This spreadsheet is a tool that is designed to help food businesses perform a vulnerability assessment for food fraud. </t>
  </si>
  <si>
    <r>
      <t xml:space="preserve">It is designed for businesses that manufacture food in accordance with the requirements of </t>
    </r>
    <r>
      <rPr>
        <b/>
        <sz val="11"/>
        <color rgb="FF000000"/>
        <rFont val="Arial"/>
        <family val="2"/>
      </rPr>
      <t xml:space="preserve">BRC's (British Retail Consortium) </t>
    </r>
    <r>
      <rPr>
        <b/>
        <i/>
        <sz val="11"/>
        <color rgb="FF000000"/>
        <rFont val="Arial"/>
        <family val="2"/>
      </rPr>
      <t>GLOBAL STANDARD FOOD SAFETY</t>
    </r>
    <r>
      <rPr>
        <sz val="11"/>
        <color rgb="FF000000"/>
        <rFont val="Arial"/>
        <family val="2"/>
      </rPr>
      <t>, which requires that businesses assess their ingredients and raw materials for vulnerability to economically motivated adulteration or substitution.</t>
    </r>
  </si>
  <si>
    <r>
      <t xml:space="preserve">The assessment method that underpins this tool aligns with the recommendations made by the Global Food Safety Initiative (GFSI) in their technical document </t>
    </r>
    <r>
      <rPr>
        <i/>
        <sz val="11"/>
        <color rgb="FF000000"/>
        <rFont val="Arial"/>
        <family val="2"/>
      </rPr>
      <t>Tackling Food Fraud Through Food Safety Management Systems</t>
    </r>
    <r>
      <rPr>
        <sz val="11"/>
        <color rgb="FF000000"/>
        <rFont val="Arial"/>
        <family val="2"/>
      </rPr>
      <t xml:space="preserve"> (2018) in so far as:</t>
    </r>
  </si>
  <si>
    <t xml:space="preserve">    (1) It conforms with the guidance for risk management methods described in ISO 31000</t>
  </si>
  <si>
    <t xml:space="preserve">    (2) It prompts the user to consider historical data, food fraud opportunities, economical context, fraud capability, complexity of supply chain.</t>
  </si>
  <si>
    <r>
      <t>However, it does not make use of a likelihood versus consequences method, (</t>
    </r>
    <r>
      <rPr>
        <i/>
        <sz val="11"/>
        <color rgb="FF000000"/>
        <rFont val="Arial"/>
        <family val="2"/>
      </rPr>
      <t>'consequence/probability matrix</t>
    </r>
    <r>
      <rPr>
        <sz val="11"/>
        <color rgb="FF000000"/>
        <rFont val="Arial"/>
        <family val="2"/>
      </rPr>
      <t xml:space="preserve">') as in ISO 31010, but follows the BRC’s recommendations to analyse likelihood of occurrence versus likelihood of detection of food fraud.  These recommendations are made in </t>
    </r>
    <r>
      <rPr>
        <i/>
        <sz val="11"/>
        <color rgb="FF000000"/>
        <rFont val="Arial"/>
        <family val="2"/>
      </rPr>
      <t>Understanding Vulnerability Assessment</t>
    </r>
    <r>
      <rPr>
        <sz val="11"/>
        <color rgb="FF000000"/>
        <rFont val="Arial"/>
        <family val="2"/>
      </rPr>
      <t xml:space="preserve"> (BRC, 2015).</t>
    </r>
  </si>
  <si>
    <r>
      <t xml:space="preserve">In addition, it is not designed to address all types of food fraud or all types of food items, focussing only on those types that are specified in BRC </t>
    </r>
    <r>
      <rPr>
        <i/>
        <sz val="11"/>
        <color rgb="FF000000"/>
        <rFont val="Arial"/>
        <family val="2"/>
      </rPr>
      <t>Global Standard Food Safety Issue 7</t>
    </r>
    <r>
      <rPr>
        <sz val="11"/>
        <color rgb="FF000000"/>
        <rFont val="Arial"/>
        <family val="2"/>
      </rPr>
      <t>, clause 5.4.2; specifically, ingredients and raw materials and their vulnerability to economically motivated adulteration, substitution or dilution.  It is expected that this vulnerability assessment tool will also meet the requirements of</t>
    </r>
    <r>
      <rPr>
        <i/>
        <sz val="11"/>
        <color rgb="FF000000"/>
        <rFont val="Arial"/>
        <family val="2"/>
      </rPr>
      <t xml:space="preserve"> Issue 8</t>
    </r>
    <r>
      <rPr>
        <sz val="11"/>
        <color rgb="FF000000"/>
        <rFont val="Arial"/>
        <family val="2"/>
      </rPr>
      <t>, clause 5.4.2.</t>
    </r>
  </si>
  <si>
    <t>As specified in 5.4.2 this tool prompts the user to take into account historical evidence of substitution or adulteration; economic factors which may make adulteration or substitution more attractive; ease of access to raw materials through the supply chain; sophistication of routine testing to identify adulterants; nature of the raw material.</t>
  </si>
  <si>
    <t xml:space="preserve">Descriptors for </t>
  </si>
  <si>
    <r>
      <rPr>
        <b/>
        <i/>
        <sz val="14"/>
        <color rgb="FF000000"/>
        <rFont val="Arial"/>
        <family val="2"/>
      </rPr>
      <t xml:space="preserve">Vulnerability Assessment Tool (BRC Method) </t>
    </r>
    <r>
      <rPr>
        <b/>
        <sz val="14"/>
        <color rgb="FF000000"/>
        <rFont val="Arial"/>
        <family val="2"/>
      </rPr>
      <t xml:space="preserve">for Food Fraud </t>
    </r>
  </si>
  <si>
    <t>Likelihood of Occurrence</t>
  </si>
  <si>
    <t>Rating</t>
  </si>
  <si>
    <t>Very unlikely, but food fraud may occur in exceptional circumstances. It could happen, but probably never will.</t>
  </si>
  <si>
    <t>Not expected, but there's a slight possibility it may occur at some time.</t>
  </si>
  <si>
    <t>Food fraud might occur for this material at some time.</t>
  </si>
  <si>
    <t>There is a strong possibility that this material will be affected by food fraud.</t>
  </si>
  <si>
    <t>Food fraud is expected to affect this material most or all of the time.</t>
  </si>
  <si>
    <t>Likelihood of Detection</t>
  </si>
  <si>
    <t>If food fraud affects this material it will almost certainly be detected.</t>
  </si>
  <si>
    <t>There is a strong possibility that food fraud would be detected if it was to occur.</t>
  </si>
  <si>
    <t>Food fraud is fairly likely to be detected.</t>
  </si>
  <si>
    <t>It is unlikely that we would detect food fraud if it occurred.</t>
  </si>
  <si>
    <t>If food fraud was to occur, it is very unlikely that our systems would detect it.</t>
  </si>
  <si>
    <t>Calculations of likelihood</t>
  </si>
  <si>
    <r>
      <t xml:space="preserve">To provide a calculated estimate of likelihood of occurrence and likelihood of detection, the </t>
    </r>
    <r>
      <rPr>
        <i/>
        <sz val="11"/>
        <color rgb="FF000000"/>
        <rFont val="Arial"/>
        <family val="2"/>
      </rPr>
      <t>Vulnerability Assessment Tool</t>
    </r>
    <r>
      <rPr>
        <sz val="11"/>
        <color rgb="FF000000"/>
        <rFont val="Arial"/>
        <family val="2"/>
      </rPr>
      <t xml:space="preserve">, performs a series of calculations. </t>
    </r>
  </si>
  <si>
    <t>For each question, a ‘good’ answer is awarded a numerical value of 0 points.  A 'good' answer is an answer that corresponds to a lower likelihood of fraud or a higher likelihood of detection.  'Good' answers are shown in green colour on the worksheets.  'Bad' answers, those that correspond to an increased likelihood of fraud or a lower likelihood of detection, are shown in red colour on the worksheets.  'Bad' answers are awarded 1 point.  The exception is the question about whether the raw material been implicated in previous incidences of food fraud (Question L1).  For this question, the answer “Yes many incidences” returns 5 points (= very bad) while “A few incidences” returns 3 points (= still quite bad).  Past history of food fraud is a very good indicator of future risk, more so than other factors, which is why the scoring for this question is weighted in such a way.   If question L1 is not answered at all, maximum points are assigned and the likelihood of occurrence will remain at 'Very likely/certain' until that question is answered.</t>
  </si>
  <si>
    <t>As the points are assigned for each answer, they are averaged and converted to a value between 0 and 100, with each of the five descriptors assigned to five equal ranges of 20 points each.</t>
  </si>
  <si>
    <t xml:space="preserve">All calculated answers can be over-ridden by the user and we recommend that the user makes their own conclusions as to the vulnerabilities and risks; the calculated ratings are designed to provide a starting point only, so if they do not make sense for your ingredient or supply chain they should definitely be changed. </t>
  </si>
  <si>
    <t>Risk ratings for</t>
  </si>
  <si>
    <r>
      <t xml:space="preserve">In accordance with the quadratic risk matrix method described in BRC's </t>
    </r>
    <r>
      <rPr>
        <i/>
        <sz val="11"/>
        <color theme="1"/>
        <rFont val="Arial"/>
        <family val="2"/>
      </rPr>
      <t>Understanding Vulnerability Assessment</t>
    </r>
    <r>
      <rPr>
        <sz val="11"/>
        <color theme="1"/>
        <rFont val="Arial"/>
        <family val="2"/>
      </rPr>
      <t xml:space="preserve"> (2015), the overall estimate of vulnerability is determined by plotting the likelihood of occurrence vs the likelihood of detection on a quadratic matrix.  The colours in the matrix in the Vulnerability Assessment tool are as described in </t>
    </r>
    <r>
      <rPr>
        <i/>
        <sz val="11"/>
        <color theme="1"/>
        <rFont val="Arial"/>
        <family val="2"/>
      </rPr>
      <t>Understanding Vulnerability Assessment</t>
    </r>
    <r>
      <rPr>
        <sz val="11"/>
        <color theme="1"/>
        <rFont val="Arial"/>
        <family val="2"/>
      </rPr>
      <t xml:space="preserve"> (2015).  The colours red, yellow and green  correspond to high risk, medium risk and low risk.  </t>
    </r>
  </si>
  <si>
    <t xml:space="preserve">The purpose of a food fraud vulnerability assessment is to understand the risk that food fraud will affect the material and so determine whether or not actions are required to reduce the risk.  If the assessment shows that a food raw material is at high risk or medium risk, a food fraud mitigation plan is required.  If the material is at low risk of food fraud, mitigation activities are not required. </t>
  </si>
  <si>
    <t>High risk; urgent action is required and regular monitoring may be needed</t>
  </si>
  <si>
    <t>Medium risk: action is needed with occasional monitoring to mitigate the risk</t>
  </si>
  <si>
    <t>Low risk; no actions required.</t>
  </si>
  <si>
    <r>
      <rPr>
        <i/>
        <sz val="10"/>
        <color rgb="FF000000"/>
        <rFont val="Arial"/>
        <family val="2"/>
      </rPr>
      <t xml:space="preserve">Tackling Food Fraud Through Food Safety Management Systems </t>
    </r>
    <r>
      <rPr>
        <sz val="10"/>
        <color rgb="FF000000"/>
        <rFont val="Arial"/>
        <family val="2"/>
      </rPr>
      <t>(GFSI, 2018)</t>
    </r>
  </si>
  <si>
    <t>http://www.mygfsi.com/files/Technical_Documents/201805-food-fraud-technical-document-final.pdf</t>
  </si>
  <si>
    <r>
      <rPr>
        <i/>
        <sz val="10"/>
        <color rgb="FF000000"/>
        <rFont val="Arial"/>
        <family val="2"/>
      </rPr>
      <t>Understanding Vulnerability Assessment</t>
    </r>
    <r>
      <rPr>
        <sz val="10"/>
        <color rgb="FF000000"/>
        <rFont val="Arial"/>
        <family val="2"/>
      </rPr>
      <t xml:space="preserve"> (BRC, 2015)</t>
    </r>
  </si>
  <si>
    <t>http://www.brcbookshop.com/p/1782/brc-global-standard-for-food-safety-issue-7-understanding-vulnerability-assessment-uk-unlocked-pdf-version</t>
  </si>
  <si>
    <t>Request an unlocked version of this spreadsheet from Food Fraud Advisors</t>
  </si>
  <si>
    <t>support@foodfraudadvisors.com</t>
  </si>
  <si>
    <r>
      <t xml:space="preserve">Food Fraud Advisors </t>
    </r>
    <r>
      <rPr>
        <sz val="10"/>
        <rFont val="Symbol"/>
        <family val="1"/>
        <charset val="2"/>
      </rPr>
      <t>ã</t>
    </r>
    <r>
      <rPr>
        <sz val="10"/>
        <rFont val="Arial"/>
        <family val="2"/>
      </rPr>
      <t xml:space="preserve"> 2018</t>
    </r>
  </si>
  <si>
    <t>Occurrence across top</t>
  </si>
  <si>
    <t>detection down side</t>
  </si>
  <si>
    <t>Don't get rid of this</t>
  </si>
  <si>
    <t>Results for likelihood of occurrence</t>
  </si>
  <si>
    <t>cell ref (now)</t>
  </si>
  <si>
    <t>'='Occurrence worksheet'!G27</t>
  </si>
  <si>
    <t>H24, I24</t>
  </si>
  <si>
    <t xml:space="preserve">Results </t>
  </si>
  <si>
    <t>Number for matrix</t>
  </si>
  <si>
    <t>Results for detection</t>
  </si>
  <si>
    <t>='detection worksheet'!G24</t>
  </si>
  <si>
    <t>H28</t>
  </si>
  <si>
    <t>formulas for colour results</t>
  </si>
  <si>
    <t>green</t>
  </si>
  <si>
    <t>yellow</t>
  </si>
  <si>
    <t>red</t>
  </si>
  <si>
    <t>rating based on whether or not a word appears in the matrix</t>
  </si>
  <si>
    <t>test</t>
  </si>
  <si>
    <t>Likelihood</t>
  </si>
  <si>
    <t>='Occurrence worksheet'!G27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</si>
</sst>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87" formatCode="[$-409]d\-mmm\-yy"/>
  </numFmts>
  <fonts count="73">
    <font>
      <sz val="10"/>
      <color rgb="FF000000"/>
      <name val="Arial"/>
    </font>
    <font>
      <sz val="10"/>
      <name val="Arial"/>
      <family val="2"/>
    </font>
    <font>
      <b/>
      <sz val="12"/>
      <name val="Arial"/>
      <family val="2"/>
    </font>
    <font>
      <sz val="10"/>
      <color rgb="FFFF0000"/>
      <name val="Arial"/>
      <family val="2"/>
    </font>
    <font>
      <b/>
      <sz val="10"/>
      <name val="Arial"/>
      <family val="2"/>
    </font>
    <font>
      <sz val="10"/>
      <color rgb="FF7F7F7F"/>
      <name val="Arial"/>
      <family val="2"/>
    </font>
    <font>
      <b/>
      <sz val="10"/>
      <color rgb="FF000000"/>
      <name val="Arial"/>
      <family val="2"/>
    </font>
    <font>
      <b/>
      <sz val="16"/>
      <name val="Arial"/>
      <family val="2"/>
    </font>
    <font>
      <b/>
      <sz val="28"/>
      <color rgb="FF00B050"/>
      <name val="Calibri"/>
      <family val="2"/>
    </font>
    <font>
      <b/>
      <sz val="11"/>
      <color rgb="FF00B050"/>
      <name val="Arial"/>
      <family val="2"/>
    </font>
    <font>
      <sz val="14"/>
      <name val="Arial"/>
      <family val="2"/>
    </font>
    <font>
      <b/>
      <sz val="14"/>
      <color rgb="FF000000"/>
      <name val="Arial"/>
      <family val="2"/>
    </font>
    <font>
      <sz val="11"/>
      <color rgb="FF000000"/>
      <name val="Arial"/>
      <family val="2"/>
    </font>
    <font>
      <b/>
      <sz val="12"/>
      <color rgb="FF000000"/>
      <name val="Arial"/>
      <family val="2"/>
    </font>
    <font>
      <sz val="10"/>
      <color rgb="FF000000"/>
      <name val="Arial"/>
      <family val="2"/>
    </font>
    <font>
      <u/>
      <sz val="10"/>
      <color theme="10"/>
      <name val="Arial"/>
      <family val="2"/>
    </font>
    <font>
      <b/>
      <sz val="12"/>
      <color rgb="FF00B050"/>
      <name val="Calibri"/>
      <family val="2"/>
    </font>
    <font>
      <sz val="12"/>
      <color rgb="FF000000"/>
      <name val="Arial"/>
      <family val="2"/>
    </font>
    <font>
      <u/>
      <sz val="12"/>
      <color rgb="FF0000FF"/>
      <name val="Arial"/>
      <family val="2"/>
    </font>
    <font>
      <b/>
      <i/>
      <sz val="14"/>
      <name val="Arial"/>
      <family val="2"/>
    </font>
    <font>
      <sz val="12"/>
      <color rgb="FF000000"/>
      <name val="Calibri"/>
      <family val="2"/>
    </font>
    <font>
      <sz val="9"/>
      <name val="Arial"/>
      <family val="2"/>
    </font>
    <font>
      <sz val="11"/>
      <color rgb="FF000000"/>
      <name val="Calibri"/>
      <family val="2"/>
      <scheme val="minor"/>
    </font>
    <font>
      <b/>
      <sz val="11"/>
      <color rgb="FF000000"/>
      <name val="Calibri"/>
      <family val="2"/>
      <scheme val="minor"/>
    </font>
    <font>
      <i/>
      <sz val="11"/>
      <color rgb="FF000000"/>
      <name val="Calibri"/>
      <family val="2"/>
      <scheme val="minor"/>
    </font>
    <font>
      <b/>
      <sz val="11"/>
      <color rgb="FF00B050"/>
      <name val="Calibri"/>
      <family val="2"/>
      <scheme val="minor"/>
    </font>
    <font>
      <u/>
      <sz val="11"/>
      <color theme="10"/>
      <name val="Arial"/>
      <family val="2"/>
    </font>
    <font>
      <b/>
      <i/>
      <sz val="12"/>
      <name val="Arial"/>
      <family val="2"/>
    </font>
    <font>
      <sz val="12"/>
      <name val="Arial"/>
      <family val="2"/>
    </font>
    <font>
      <sz val="10"/>
      <name val="Arial Rounded MT Bold"/>
      <family val="2"/>
    </font>
    <font>
      <sz val="10"/>
      <color rgb="FF000000"/>
      <name val="Arial Rounded MT Bold"/>
      <family val="2"/>
    </font>
    <font>
      <b/>
      <sz val="11"/>
      <name val="Arial"/>
      <family val="2"/>
    </font>
    <font>
      <b/>
      <sz val="14"/>
      <name val="Arial"/>
      <family val="2"/>
    </font>
    <font>
      <sz val="12"/>
      <color rgb="FFFF0000"/>
      <name val="Arial"/>
      <family val="2"/>
    </font>
    <font>
      <sz val="14"/>
      <color rgb="FF000000"/>
      <name val="Arial"/>
      <family val="2"/>
    </font>
    <font>
      <sz val="12"/>
      <name val="Calibri"/>
      <family val="2"/>
      <scheme val="minor"/>
    </font>
    <font>
      <b/>
      <sz val="10"/>
      <color rgb="FF434343"/>
      <name val="Arial"/>
      <family val="2"/>
    </font>
    <font>
      <sz val="10"/>
      <color rgb="FFFFC000"/>
      <name val="Arial"/>
      <family val="2"/>
    </font>
    <font>
      <sz val="11"/>
      <name val="Calibri"/>
      <family val="2"/>
      <scheme val="minor"/>
    </font>
    <font>
      <b/>
      <sz val="12"/>
      <color rgb="FF00B050"/>
      <name val="Calibri"/>
      <family val="2"/>
      <scheme val="minor"/>
    </font>
    <font>
      <u/>
      <sz val="12"/>
      <color rgb="FF1B05C1"/>
      <name val="Arial"/>
      <family val="2"/>
    </font>
    <font>
      <b/>
      <i/>
      <sz val="12"/>
      <color rgb="FF000000"/>
      <name val="Arial"/>
      <family val="2"/>
    </font>
    <font>
      <sz val="11"/>
      <name val="Arial"/>
      <family val="2"/>
    </font>
    <font>
      <sz val="10"/>
      <color theme="0"/>
      <name val="Arial"/>
      <family val="2"/>
    </font>
    <font>
      <b/>
      <sz val="16"/>
      <color theme="2" tint="-0.749992370372631"/>
      <name val="Arial"/>
      <family val="2"/>
    </font>
    <font>
      <sz val="10"/>
      <color theme="2" tint="-0.749992370372631"/>
      <name val="Arial"/>
      <family val="2"/>
    </font>
    <font>
      <b/>
      <sz val="12"/>
      <color theme="2" tint="-0.749992370372631"/>
      <name val="Arial"/>
      <family val="2"/>
    </font>
    <font>
      <sz val="12"/>
      <color theme="2" tint="-0.749992370372631"/>
      <name val="Arial"/>
      <family val="2"/>
    </font>
    <font>
      <sz val="14"/>
      <color theme="2" tint="-0.749992370372631"/>
      <name val="Arial"/>
      <family val="2"/>
    </font>
    <font>
      <b/>
      <sz val="14"/>
      <color theme="2" tint="-0.749992370372631"/>
      <name val="Arial"/>
      <family val="2"/>
    </font>
    <font>
      <i/>
      <sz val="11"/>
      <name val="Arial"/>
      <family val="2"/>
    </font>
    <font>
      <b/>
      <i/>
      <sz val="11"/>
      <color rgb="FF000000"/>
      <name val="Calibri"/>
      <family val="2"/>
      <scheme val="minor"/>
    </font>
    <font>
      <b/>
      <u/>
      <sz val="10"/>
      <color rgb="FF0033CC"/>
      <name val="Arial"/>
      <family val="2"/>
    </font>
    <font>
      <sz val="10"/>
      <name val="Arial"/>
      <family val="1"/>
      <charset val="2"/>
    </font>
    <font>
      <sz val="10"/>
      <name val="Symbol"/>
      <family val="1"/>
      <charset val="2"/>
    </font>
    <font>
      <sz val="9"/>
      <color rgb="FF0070C0"/>
      <name val="Arial"/>
      <family val="2"/>
    </font>
    <font>
      <sz val="10"/>
      <color theme="1"/>
      <name val="Arial"/>
      <family val="2"/>
    </font>
    <font>
      <b/>
      <sz val="11"/>
      <color theme="1"/>
      <name val="Arial"/>
      <family val="2"/>
    </font>
    <font>
      <sz val="11"/>
      <color theme="1"/>
      <name val="Arial"/>
      <family val="2"/>
    </font>
    <font>
      <b/>
      <sz val="11"/>
      <color rgb="FF000000"/>
      <name val="Arial"/>
      <family val="2"/>
    </font>
    <font>
      <sz val="11"/>
      <color rgb="FF000000"/>
      <name val="Calibri"/>
      <family val="2"/>
    </font>
    <font>
      <i/>
      <sz val="11"/>
      <color rgb="FF000000"/>
      <name val="Arial"/>
      <family val="2"/>
    </font>
    <font>
      <b/>
      <sz val="16"/>
      <color rgb="FF000000"/>
      <name val="Arial"/>
      <family val="2"/>
    </font>
    <font>
      <b/>
      <i/>
      <sz val="14"/>
      <color rgb="FF000000"/>
      <name val="Arial"/>
      <family val="2"/>
    </font>
    <font>
      <sz val="11"/>
      <color rgb="FF000000"/>
      <name val="Symbol"/>
      <family val="1"/>
      <charset val="2"/>
    </font>
    <font>
      <b/>
      <i/>
      <sz val="11"/>
      <color rgb="FF000000"/>
      <name val="Arial"/>
      <family val="2"/>
    </font>
    <font>
      <i/>
      <sz val="11"/>
      <color theme="1"/>
      <name val="Arial"/>
      <family val="2"/>
    </font>
    <font>
      <i/>
      <sz val="10"/>
      <color rgb="FF000000"/>
      <name val="Arial"/>
      <family val="2"/>
    </font>
    <font>
      <b/>
      <sz val="12"/>
      <color theme="0"/>
      <name val="Arial"/>
      <family val="2"/>
    </font>
    <font>
      <sz val="9"/>
      <color theme="0"/>
      <name val="Arial"/>
      <family val="2"/>
    </font>
    <font>
      <sz val="10"/>
      <color theme="0"/>
      <name val="Arial Rounded MT Bold"/>
      <family val="2"/>
    </font>
    <font>
      <b/>
      <sz val="10"/>
      <color theme="0"/>
      <name val="Arial"/>
      <family val="2"/>
    </font>
    <font>
      <sz val="11"/>
      <color theme="0"/>
      <name val="Arial"/>
      <family val="2"/>
    </font>
  </fonts>
  <fills count="18">
    <fill>
      <patternFill patternType="none"/>
    </fill>
    <fill>
      <patternFill patternType="gray125"/>
    </fill>
    <fill>
      <patternFill patternType="solid">
        <fgColor rgb="FFD8D8D8"/>
        <bgColor rgb="FFD8D8D8"/>
      </patternFill>
    </fill>
    <fill>
      <patternFill patternType="solid">
        <fgColor theme="0"/>
        <bgColor indexed="64"/>
      </patternFill>
    </fill>
    <fill>
      <patternFill patternType="solid">
        <fgColor theme="4" tint="0.59999389629810485"/>
        <bgColor indexed="64"/>
      </patternFill>
    </fill>
    <fill>
      <patternFill patternType="solid">
        <fgColor rgb="FFFF7C80"/>
        <bgColor indexed="64"/>
      </patternFill>
    </fill>
    <fill>
      <patternFill patternType="solid">
        <fgColor rgb="FF99FF99"/>
        <bgColor rgb="FFD9D2E9"/>
      </patternFill>
    </fill>
    <fill>
      <patternFill patternType="solid">
        <fgColor theme="4" tint="0.59999389629810485"/>
        <bgColor rgb="FFD9D2E9"/>
      </patternFill>
    </fill>
    <fill>
      <patternFill patternType="solid">
        <fgColor theme="0" tint="-0.14999847407452621"/>
        <bgColor indexed="64"/>
      </patternFill>
    </fill>
    <fill>
      <patternFill patternType="solid">
        <fgColor theme="7" tint="0.79998168889431442"/>
        <bgColor rgb="FFD9D2E9"/>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FCF2CC"/>
        <bgColor rgb="FFD9D2E9"/>
      </patternFill>
    </fill>
    <fill>
      <patternFill patternType="solid">
        <fgColor rgb="FFFCF2CC"/>
        <bgColor indexed="64"/>
      </patternFill>
    </fill>
    <fill>
      <patternFill patternType="solid">
        <fgColor rgb="FFFCF2CC"/>
        <bgColor rgb="FFA4C2F4"/>
      </patternFill>
    </fill>
    <fill>
      <patternFill patternType="solid">
        <fgColor theme="7" tint="0.79998168889431442"/>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rgb="FF000000"/>
      </left>
      <right/>
      <top/>
      <bottom/>
      <diagonal/>
    </border>
    <border>
      <left/>
      <right style="thin">
        <color rgb="FF000000"/>
      </right>
      <top/>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theme="0" tint="-0.499984740745262"/>
      </right>
      <top style="thin">
        <color theme="0" tint="-0.499984740745262"/>
      </top>
      <bottom style="thin">
        <color theme="0" tint="-0.499984740745262"/>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5" fillId="0" borderId="0" applyNumberFormat="0" applyFill="0" applyBorder="0" applyAlignment="0" applyProtection="0"/>
  </cellStyleXfs>
  <cellXfs count="422">
    <xf numFmtId="0" fontId="0" fillId="0" borderId="0" xfId="0"/>
    <xf numFmtId="0" fontId="0" fillId="0" borderId="0" xfId="0" applyProtection="1">
      <protection hidden="1"/>
    </xf>
    <xf numFmtId="0" fontId="7" fillId="0" borderId="0" xfId="0" applyFont="1" applyAlignment="1" applyProtection="1">
      <alignment vertical="center"/>
      <protection hidden="1"/>
    </xf>
    <xf numFmtId="0" fontId="4" fillId="0" borderId="0" xfId="0" applyFont="1" applyAlignment="1" applyProtection="1">
      <alignment vertical="center"/>
      <protection hidden="1"/>
    </xf>
    <xf numFmtId="0" fontId="1" fillId="0" borderId="0" xfId="0" applyFont="1" applyProtection="1">
      <protection hidden="1"/>
    </xf>
    <xf numFmtId="0" fontId="12" fillId="0" borderId="0" xfId="0" applyFont="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0" fillId="0" borderId="0" xfId="0" applyAlignment="1" applyProtection="1">
      <alignment vertical="center"/>
      <protection hidden="1"/>
    </xf>
    <xf numFmtId="0" fontId="3" fillId="0" borderId="0" xfId="0" applyFont="1" applyProtection="1">
      <protection hidden="1"/>
    </xf>
    <xf numFmtId="0" fontId="0" fillId="0" borderId="0" xfId="0" applyAlignment="1" applyProtection="1">
      <alignment horizontal="left"/>
      <protection hidden="1"/>
    </xf>
    <xf numFmtId="0" fontId="1" fillId="0" borderId="0" xfId="0" applyFont="1" applyAlignment="1" applyProtection="1">
      <alignment horizontal="left"/>
      <protection hidden="1"/>
    </xf>
    <xf numFmtId="0" fontId="12" fillId="0" borderId="0" xfId="0" applyFont="1" applyProtection="1">
      <protection hidden="1"/>
    </xf>
    <xf numFmtId="0" fontId="14" fillId="0" borderId="0" xfId="0" applyFont="1" applyProtection="1">
      <protection hidden="1"/>
    </xf>
    <xf numFmtId="0" fontId="28" fillId="0" borderId="0" xfId="0" applyFont="1" applyAlignment="1" applyProtection="1">
      <alignment vertical="center"/>
      <protection hidden="1"/>
    </xf>
    <xf numFmtId="0" fontId="17" fillId="0" borderId="0" xfId="0" applyFont="1" applyAlignment="1" applyProtection="1">
      <alignment vertical="center"/>
      <protection hidden="1"/>
    </xf>
    <xf numFmtId="0" fontId="1" fillId="11" borderId="7" xfId="0" applyFont="1" applyFill="1" applyBorder="1" applyAlignment="1" applyProtection="1">
      <alignment vertical="center" wrapText="1"/>
      <protection locked="0"/>
    </xf>
    <xf numFmtId="0" fontId="14" fillId="11" borderId="7" xfId="0" applyFont="1" applyFill="1" applyBorder="1" applyAlignment="1" applyProtection="1">
      <alignment horizontal="left" vertical="top"/>
      <protection locked="0"/>
    </xf>
    <xf numFmtId="0" fontId="0" fillId="11" borderId="7" xfId="0" applyFill="1" applyBorder="1" applyProtection="1">
      <protection locked="0"/>
    </xf>
    <xf numFmtId="0" fontId="0" fillId="11" borderId="7" xfId="0" applyFill="1" applyBorder="1" applyAlignment="1" applyProtection="1">
      <alignment horizontal="left" vertical="top"/>
      <protection locked="0"/>
    </xf>
    <xf numFmtId="0" fontId="0" fillId="11" borderId="4" xfId="0" applyFill="1" applyBorder="1" applyAlignment="1" applyProtection="1">
      <alignment horizontal="left" vertical="top"/>
      <protection locked="0"/>
    </xf>
    <xf numFmtId="0" fontId="0" fillId="11" borderId="1" xfId="0" applyFill="1" applyBorder="1" applyAlignment="1" applyProtection="1">
      <alignment horizontal="left" vertical="top"/>
      <protection locked="0"/>
    </xf>
    <xf numFmtId="0" fontId="11" fillId="0" borderId="0" xfId="0" applyFont="1" applyProtection="1">
      <protection hidden="1"/>
    </xf>
    <xf numFmtId="0" fontId="0" fillId="13" borderId="0" xfId="0" applyFill="1" applyProtection="1">
      <protection hidden="1"/>
    </xf>
    <xf numFmtId="0" fontId="12" fillId="13" borderId="0" xfId="0" applyFont="1" applyFill="1" applyProtection="1">
      <protection hidden="1"/>
    </xf>
    <xf numFmtId="0" fontId="19" fillId="0" borderId="0" xfId="0" applyFont="1" applyAlignment="1" applyProtection="1">
      <alignment horizontal="left" vertical="center"/>
      <protection hidden="1"/>
    </xf>
    <xf numFmtId="0" fontId="31" fillId="0" borderId="0" xfId="0" applyFont="1" applyAlignment="1" applyProtection="1">
      <alignment textRotation="90"/>
      <protection hidden="1"/>
    </xf>
    <xf numFmtId="0" fontId="31" fillId="0" borderId="0" xfId="0" applyFont="1" applyAlignment="1" applyProtection="1">
      <alignment textRotation="90" wrapText="1"/>
      <protection hidden="1"/>
    </xf>
    <xf numFmtId="0" fontId="29" fillId="12" borderId="7" xfId="0" applyFont="1" applyFill="1" applyBorder="1" applyAlignment="1" applyProtection="1">
      <alignment horizontal="center" vertical="center"/>
      <protection hidden="1"/>
    </xf>
    <xf numFmtId="0" fontId="29" fillId="10" borderId="7" xfId="0" applyFont="1" applyFill="1" applyBorder="1" applyAlignment="1" applyProtection="1">
      <alignment horizontal="center" vertical="center"/>
      <protection hidden="1"/>
    </xf>
    <xf numFmtId="0" fontId="30" fillId="10" borderId="7" xfId="0" applyFont="1" applyFill="1" applyBorder="1" applyAlignment="1" applyProtection="1">
      <alignment horizontal="center" vertical="center"/>
      <protection hidden="1"/>
    </xf>
    <xf numFmtId="0" fontId="30" fillId="5" borderId="7" xfId="0" applyFont="1" applyFill="1" applyBorder="1" applyAlignment="1" applyProtection="1">
      <alignment horizontal="center" vertical="center"/>
      <protection hidden="1"/>
    </xf>
    <xf numFmtId="0" fontId="29" fillId="5" borderId="7" xfId="0" applyFont="1" applyFill="1" applyBorder="1" applyAlignment="1" applyProtection="1">
      <alignment horizontal="center" vertical="center"/>
      <protection hidden="1"/>
    </xf>
    <xf numFmtId="0" fontId="4" fillId="7" borderId="21" xfId="0" applyFont="1" applyFill="1" applyBorder="1" applyAlignment="1" applyProtection="1">
      <alignment horizontal="left" vertical="top" wrapText="1"/>
      <protection hidden="1"/>
    </xf>
    <xf numFmtId="0" fontId="4" fillId="7" borderId="19" xfId="0" applyFont="1" applyFill="1" applyBorder="1" applyAlignment="1" applyProtection="1">
      <alignment horizontal="left" vertical="top" wrapText="1"/>
      <protection hidden="1"/>
    </xf>
    <xf numFmtId="0" fontId="4" fillId="7" borderId="7" xfId="0" applyFont="1" applyFill="1" applyBorder="1" applyAlignment="1" applyProtection="1">
      <alignment horizontal="left" vertical="top" wrapText="1"/>
      <protection hidden="1"/>
    </xf>
    <xf numFmtId="0" fontId="4" fillId="9" borderId="21" xfId="0" applyFont="1" applyFill="1" applyBorder="1" applyAlignment="1" applyProtection="1">
      <alignment horizontal="left" vertical="top" wrapText="1"/>
      <protection hidden="1"/>
    </xf>
    <xf numFmtId="0" fontId="4" fillId="9" borderId="19" xfId="0" applyFont="1" applyFill="1" applyBorder="1" applyAlignment="1" applyProtection="1">
      <alignment horizontal="left" vertical="top" wrapText="1"/>
      <protection hidden="1"/>
    </xf>
    <xf numFmtId="187" fontId="0" fillId="0" borderId="0" xfId="0" applyNumberFormat="1" applyAlignment="1" applyProtection="1">
      <alignment horizontal="left"/>
      <protection hidden="1"/>
    </xf>
    <xf numFmtId="0" fontId="1" fillId="0" borderId="7" xfId="0" applyFont="1" applyBorder="1" applyAlignment="1" applyProtection="1">
      <alignment vertical="center" wrapText="1"/>
      <protection hidden="1"/>
    </xf>
    <xf numFmtId="0" fontId="0" fillId="0" borderId="0" xfId="0" applyAlignment="1" applyProtection="1">
      <alignment vertical="top"/>
      <protection hidden="1"/>
    </xf>
    <xf numFmtId="0" fontId="32" fillId="0" borderId="0" xfId="0" applyFont="1" applyAlignment="1" applyProtection="1">
      <alignment horizontal="left" vertical="center"/>
      <protection hidden="1"/>
    </xf>
    <xf numFmtId="0" fontId="0" fillId="8" borderId="10" xfId="0" applyFill="1" applyBorder="1" applyProtection="1">
      <protection hidden="1"/>
    </xf>
    <xf numFmtId="0" fontId="0" fillId="8" borderId="11" xfId="0" applyFill="1" applyBorder="1" applyProtection="1">
      <protection hidden="1"/>
    </xf>
    <xf numFmtId="0" fontId="14" fillId="8" borderId="22" xfId="0" applyFont="1" applyFill="1" applyBorder="1" applyProtection="1">
      <protection hidden="1"/>
    </xf>
    <xf numFmtId="0" fontId="0" fillId="8" borderId="0" xfId="0" applyFill="1" applyProtection="1">
      <protection hidden="1"/>
    </xf>
    <xf numFmtId="0" fontId="0" fillId="8" borderId="23"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6" fillId="8" borderId="9" xfId="0" applyFont="1" applyFill="1" applyBorder="1" applyProtection="1">
      <protection hidden="1"/>
    </xf>
    <xf numFmtId="0" fontId="14" fillId="8" borderId="12" xfId="0" applyFont="1" applyFill="1" applyBorder="1" applyProtection="1">
      <protection hidden="1"/>
    </xf>
    <xf numFmtId="0" fontId="15" fillId="12" borderId="15" xfId="1" applyFill="1" applyBorder="1" applyAlignment="1" applyProtection="1">
      <alignment horizontal="left" vertical="center" wrapText="1"/>
      <protection hidden="1"/>
    </xf>
    <xf numFmtId="0" fontId="15" fillId="12" borderId="16" xfId="1" applyFill="1" applyBorder="1" applyAlignment="1" applyProtection="1">
      <alignment horizontal="left" vertical="center" wrapText="1"/>
      <protection hidden="1"/>
    </xf>
    <xf numFmtId="0" fontId="0" fillId="0" borderId="0" xfId="0" applyAlignment="1">
      <alignment vertical="center"/>
    </xf>
    <xf numFmtId="0" fontId="15" fillId="6" borderId="20" xfId="1" applyFill="1" applyBorder="1" applyAlignment="1" applyProtection="1">
      <alignment horizontal="left" vertical="top" wrapText="1"/>
      <protection locked="0"/>
    </xf>
    <xf numFmtId="0" fontId="2" fillId="4" borderId="9" xfId="0" applyFont="1" applyFill="1" applyBorder="1" applyAlignment="1" applyProtection="1">
      <alignment horizontal="left" vertical="top"/>
      <protection hidden="1"/>
    </xf>
    <xf numFmtId="0" fontId="0" fillId="4" borderId="10" xfId="0" applyFill="1" applyBorder="1" applyAlignment="1" applyProtection="1">
      <alignment horizontal="left" vertical="top" wrapText="1"/>
      <protection hidden="1"/>
    </xf>
    <xf numFmtId="0" fontId="27" fillId="4" borderId="22" xfId="0" applyFont="1" applyFill="1" applyBorder="1" applyAlignment="1" applyProtection="1">
      <alignment horizontal="left" vertical="center"/>
      <protection hidden="1"/>
    </xf>
    <xf numFmtId="0" fontId="0" fillId="4" borderId="0" xfId="0" applyFill="1" applyAlignment="1" applyProtection="1">
      <alignment horizontal="left" vertical="top" wrapText="1"/>
      <protection hidden="1"/>
    </xf>
    <xf numFmtId="0" fontId="14" fillId="4" borderId="0" xfId="0" applyFont="1" applyFill="1" applyAlignment="1" applyProtection="1">
      <alignment horizontal="center"/>
      <protection hidden="1"/>
    </xf>
    <xf numFmtId="0" fontId="0" fillId="0" borderId="0" xfId="0" quotePrefix="1" applyProtection="1">
      <protection hidden="1"/>
    </xf>
    <xf numFmtId="0" fontId="4" fillId="0" borderId="0" xfId="0" applyFont="1" applyAlignment="1" applyProtection="1">
      <alignment horizontal="left" vertical="top" wrapText="1"/>
      <protection hidden="1"/>
    </xf>
    <xf numFmtId="0" fontId="14" fillId="0" borderId="0" xfId="0" applyFont="1" applyAlignment="1" applyProtection="1">
      <alignment horizontal="left" vertical="top" wrapText="1"/>
      <protection hidden="1"/>
    </xf>
    <xf numFmtId="0" fontId="14" fillId="0" borderId="0" xfId="0" applyFont="1" applyAlignment="1" applyProtection="1">
      <alignment wrapText="1"/>
      <protection hidden="1"/>
    </xf>
    <xf numFmtId="0" fontId="0" fillId="0" borderId="0" xfId="0" applyAlignment="1" applyProtection="1">
      <alignment wrapText="1"/>
      <protection hidden="1"/>
    </xf>
    <xf numFmtId="0" fontId="21" fillId="0" borderId="0" xfId="0" applyFont="1" applyAlignment="1" applyProtection="1">
      <alignment horizontal="left" vertical="top" wrapText="1"/>
      <protection hidden="1"/>
    </xf>
    <xf numFmtId="0" fontId="2" fillId="7" borderId="7" xfId="0" applyFont="1" applyFill="1" applyBorder="1" applyAlignment="1" applyProtection="1">
      <alignment horizontal="left" vertical="top" wrapText="1"/>
      <protection hidden="1"/>
    </xf>
    <xf numFmtId="0" fontId="13" fillId="4" borderId="7" xfId="0" applyFont="1" applyFill="1" applyBorder="1" applyAlignment="1" applyProtection="1">
      <alignment horizontal="left" vertical="top" wrapText="1"/>
      <protection hidden="1"/>
    </xf>
    <xf numFmtId="0" fontId="13" fillId="0" borderId="0" xfId="0" applyFont="1" applyAlignment="1" applyProtection="1">
      <alignment horizontal="left" vertical="top"/>
      <protection hidden="1"/>
    </xf>
    <xf numFmtId="0" fontId="13" fillId="0" borderId="0" xfId="0" quotePrefix="1" applyFont="1" applyAlignment="1" applyProtection="1">
      <alignment horizontal="left" vertical="top"/>
      <protection hidden="1"/>
    </xf>
    <xf numFmtId="0" fontId="1" fillId="7" borderId="7" xfId="0" applyFont="1" applyFill="1" applyBorder="1" applyAlignment="1" applyProtection="1">
      <alignment horizontal="left" vertical="top" wrapText="1"/>
      <protection hidden="1"/>
    </xf>
    <xf numFmtId="0" fontId="15" fillId="7" borderId="7" xfId="1" applyFill="1" applyBorder="1" applyAlignment="1" applyProtection="1">
      <alignment horizontal="left" vertical="top" wrapText="1"/>
      <protection hidden="1"/>
    </xf>
    <xf numFmtId="0" fontId="0" fillId="4" borderId="7" xfId="0" quotePrefix="1" applyFill="1" applyBorder="1" applyAlignment="1" applyProtection="1">
      <alignment horizontal="left" vertical="top" wrapText="1"/>
      <protection hidden="1"/>
    </xf>
    <xf numFmtId="0" fontId="14" fillId="4" borderId="7" xfId="0" applyFont="1" applyFill="1" applyBorder="1" applyAlignment="1" applyProtection="1">
      <alignment horizontal="left" vertical="top" wrapText="1"/>
      <protection hidden="1"/>
    </xf>
    <xf numFmtId="1" fontId="1" fillId="4" borderId="7" xfId="0" applyNumberFormat="1" applyFont="1" applyFill="1" applyBorder="1" applyAlignment="1" applyProtection="1">
      <alignment horizontal="left" vertical="top" wrapText="1"/>
      <protection hidden="1"/>
    </xf>
    <xf numFmtId="0" fontId="14" fillId="0" borderId="0" xfId="0" applyFont="1" applyAlignment="1" applyProtection="1">
      <alignment horizontal="left" vertical="center"/>
      <protection hidden="1"/>
    </xf>
    <xf numFmtId="0" fontId="0" fillId="0" borderId="0" xfId="0" applyAlignment="1" applyProtection="1">
      <alignment horizontal="left" vertical="top" wrapText="1"/>
      <protection hidden="1"/>
    </xf>
    <xf numFmtId="0" fontId="1" fillId="3" borderId="7" xfId="0" applyFont="1" applyFill="1" applyBorder="1" applyAlignment="1" applyProtection="1">
      <alignment horizontal="left" vertical="top" wrapText="1"/>
      <protection locked="0"/>
    </xf>
    <xf numFmtId="0" fontId="2" fillId="0" borderId="7" xfId="0" applyFont="1" applyBorder="1" applyAlignment="1" applyProtection="1">
      <alignment horizontal="left" vertical="top"/>
      <protection hidden="1"/>
    </xf>
    <xf numFmtId="0" fontId="1" fillId="4" borderId="10" xfId="0" applyFont="1" applyFill="1" applyBorder="1" applyAlignment="1" applyProtection="1">
      <alignment vertical="top"/>
      <protection hidden="1"/>
    </xf>
    <xf numFmtId="0" fontId="1" fillId="4" borderId="10" xfId="0" applyFont="1" applyFill="1" applyBorder="1" applyProtection="1">
      <protection hidden="1"/>
    </xf>
    <xf numFmtId="0" fontId="1" fillId="4" borderId="0" xfId="0" applyFont="1" applyFill="1" applyAlignment="1" applyProtection="1">
      <alignment horizontal="center" vertical="top" wrapText="1"/>
      <protection hidden="1"/>
    </xf>
    <xf numFmtId="0" fontId="1" fillId="4" borderId="0" xfId="0" applyFont="1" applyFill="1" applyAlignment="1" applyProtection="1">
      <alignment horizontal="center"/>
      <protection hidden="1"/>
    </xf>
    <xf numFmtId="0" fontId="1" fillId="0" borderId="0" xfId="0" applyFont="1" applyAlignment="1" applyProtection="1">
      <alignment vertical="top"/>
      <protection hidden="1"/>
    </xf>
    <xf numFmtId="0" fontId="2" fillId="4" borderId="7" xfId="0" applyFont="1" applyFill="1" applyBorder="1" applyAlignment="1" applyProtection="1">
      <alignment horizontal="left" vertical="top" wrapText="1"/>
      <protection hidden="1"/>
    </xf>
    <xf numFmtId="0" fontId="10" fillId="4" borderId="7" xfId="0" applyFont="1" applyFill="1" applyBorder="1" applyAlignment="1" applyProtection="1">
      <alignment vertical="top" wrapText="1"/>
      <protection hidden="1"/>
    </xf>
    <xf numFmtId="0" fontId="1" fillId="7" borderId="18" xfId="0" applyFont="1" applyFill="1" applyBorder="1" applyAlignment="1" applyProtection="1">
      <alignment horizontal="left" vertical="top" wrapText="1"/>
      <protection hidden="1"/>
    </xf>
    <xf numFmtId="0" fontId="3" fillId="0" borderId="0" xfId="0" applyFont="1" applyAlignment="1" applyProtection="1">
      <alignment vertical="center"/>
      <protection hidden="1"/>
    </xf>
    <xf numFmtId="0" fontId="14" fillId="3" borderId="7" xfId="0" applyFont="1" applyFill="1" applyBorder="1" applyAlignment="1" applyProtection="1">
      <alignment horizontal="left" vertical="top" wrapText="1"/>
      <protection locked="0"/>
    </xf>
    <xf numFmtId="0" fontId="13" fillId="4" borderId="12" xfId="0" applyFont="1" applyFill="1" applyBorder="1" applyAlignment="1" applyProtection="1">
      <alignment horizontal="left" vertical="top"/>
      <protection hidden="1"/>
    </xf>
    <xf numFmtId="0" fontId="13" fillId="4" borderId="13" xfId="0" applyFont="1" applyFill="1" applyBorder="1" applyAlignment="1" applyProtection="1">
      <alignment horizontal="left" vertical="top"/>
      <protection hidden="1"/>
    </xf>
    <xf numFmtId="0" fontId="14" fillId="0" borderId="0" xfId="0" applyFont="1" applyAlignment="1" applyProtection="1">
      <alignment vertical="top"/>
      <protection hidden="1"/>
    </xf>
    <xf numFmtId="0" fontId="0" fillId="4" borderId="11" xfId="0" applyFill="1" applyBorder="1" applyAlignment="1" applyProtection="1">
      <alignment wrapText="1"/>
      <protection hidden="1"/>
    </xf>
    <xf numFmtId="0" fontId="0" fillId="4" borderId="23" xfId="0" applyFill="1" applyBorder="1" applyAlignment="1" applyProtection="1">
      <alignment wrapText="1"/>
      <protection hidden="1"/>
    </xf>
    <xf numFmtId="0" fontId="0" fillId="4" borderId="14" xfId="0" applyFill="1" applyBorder="1" applyProtection="1">
      <protection hidden="1"/>
    </xf>
    <xf numFmtId="0" fontId="36" fillId="0" borderId="0" xfId="0" applyFont="1" applyAlignment="1" applyProtection="1">
      <alignment vertical="center"/>
      <protection hidden="1"/>
    </xf>
    <xf numFmtId="0" fontId="0" fillId="0" borderId="0" xfId="0" applyAlignment="1" applyProtection="1">
      <alignment horizontal="left" vertical="center"/>
      <protection hidden="1"/>
    </xf>
    <xf numFmtId="0" fontId="2" fillId="0" borderId="0" xfId="0" applyFont="1" applyAlignment="1" applyProtection="1">
      <alignment vertical="center"/>
      <protection hidden="1"/>
    </xf>
    <xf numFmtId="0" fontId="3" fillId="0" borderId="0" xfId="0" applyFont="1" applyAlignment="1" applyProtection="1">
      <alignment horizontal="left" vertical="center"/>
      <protection hidden="1"/>
    </xf>
    <xf numFmtId="0" fontId="2" fillId="15" borderId="43" xfId="0" applyFont="1" applyFill="1" applyBorder="1" applyAlignment="1" applyProtection="1">
      <alignment vertical="center"/>
      <protection hidden="1"/>
    </xf>
    <xf numFmtId="0" fontId="0" fillId="15" borderId="44" xfId="0" applyFill="1" applyBorder="1" applyAlignment="1" applyProtection="1">
      <alignment vertical="center"/>
      <protection hidden="1"/>
    </xf>
    <xf numFmtId="0" fontId="41" fillId="15" borderId="39" xfId="0" applyFont="1" applyFill="1" applyBorder="1" applyAlignment="1" applyProtection="1">
      <alignment horizontal="left" vertical="center"/>
      <protection hidden="1"/>
    </xf>
    <xf numFmtId="0" fontId="3" fillId="15" borderId="0" xfId="0" applyFont="1" applyFill="1" applyAlignment="1" applyProtection="1">
      <alignment vertical="center"/>
      <protection hidden="1"/>
    </xf>
    <xf numFmtId="0" fontId="2" fillId="15" borderId="41" xfId="0" applyFont="1" applyFill="1" applyBorder="1" applyAlignment="1" applyProtection="1">
      <alignment vertical="center"/>
      <protection hidden="1"/>
    </xf>
    <xf numFmtId="0" fontId="0" fillId="15" borderId="38" xfId="0" applyFill="1" applyBorder="1" applyAlignment="1" applyProtection="1">
      <alignment horizontal="left" vertical="center"/>
      <protection hidden="1"/>
    </xf>
    <xf numFmtId="0" fontId="3" fillId="15" borderId="38" xfId="0" applyFont="1" applyFill="1" applyBorder="1" applyAlignment="1" applyProtection="1">
      <alignment vertical="center"/>
      <protection hidden="1"/>
    </xf>
    <xf numFmtId="0" fontId="2" fillId="14" borderId="21" xfId="0" applyFont="1" applyFill="1" applyBorder="1" applyAlignment="1" applyProtection="1">
      <alignment horizontal="left" vertical="top" wrapText="1"/>
      <protection hidden="1"/>
    </xf>
    <xf numFmtId="0" fontId="13" fillId="15" borderId="7" xfId="0" applyFont="1" applyFill="1" applyBorder="1" applyAlignment="1" applyProtection="1">
      <alignment horizontal="left" vertical="top" wrapText="1"/>
      <protection hidden="1"/>
    </xf>
    <xf numFmtId="0" fontId="4" fillId="14" borderId="21" xfId="0" applyFont="1" applyFill="1" applyBorder="1" applyAlignment="1" applyProtection="1">
      <alignment horizontal="left" vertical="top" wrapText="1"/>
      <protection hidden="1"/>
    </xf>
    <xf numFmtId="0" fontId="1" fillId="16" borderId="7" xfId="0" applyFont="1" applyFill="1" applyBorder="1" applyAlignment="1" applyProtection="1">
      <alignment vertical="top" wrapText="1"/>
      <protection hidden="1"/>
    </xf>
    <xf numFmtId="0" fontId="4" fillId="16" borderId="7" xfId="0" applyFont="1" applyFill="1" applyBorder="1" applyAlignment="1" applyProtection="1">
      <alignment vertical="top" wrapText="1"/>
      <protection hidden="1"/>
    </xf>
    <xf numFmtId="0" fontId="2" fillId="0" borderId="21" xfId="0" applyFont="1" applyBorder="1" applyAlignment="1" applyProtection="1">
      <alignment horizontal="left" vertical="top" wrapText="1"/>
      <protection hidden="1"/>
    </xf>
    <xf numFmtId="0" fontId="4" fillId="0" borderId="7" xfId="0" applyFont="1" applyBorder="1" applyAlignment="1" applyProtection="1">
      <alignment vertical="top" wrapText="1"/>
      <protection hidden="1"/>
    </xf>
    <xf numFmtId="0" fontId="37" fillId="0" borderId="7" xfId="0" applyFont="1" applyBorder="1" applyAlignment="1" applyProtection="1">
      <alignment vertical="top" wrapText="1"/>
      <protection hidden="1"/>
    </xf>
    <xf numFmtId="0" fontId="4" fillId="7" borderId="9" xfId="0" applyFont="1" applyFill="1" applyBorder="1" applyAlignment="1" applyProtection="1">
      <alignment horizontal="left" vertical="top" wrapText="1"/>
      <protection hidden="1"/>
    </xf>
    <xf numFmtId="0" fontId="4" fillId="7" borderId="12" xfId="0" applyFont="1" applyFill="1" applyBorder="1" applyAlignment="1" applyProtection="1">
      <alignment horizontal="left" vertical="top" wrapText="1"/>
      <protection hidden="1"/>
    </xf>
    <xf numFmtId="0" fontId="4" fillId="7" borderId="22" xfId="0" applyFont="1" applyFill="1" applyBorder="1" applyAlignment="1" applyProtection="1">
      <alignment horizontal="left" vertical="top" wrapText="1"/>
      <protection hidden="1"/>
    </xf>
    <xf numFmtId="0" fontId="4" fillId="14" borderId="7" xfId="0" applyFont="1" applyFill="1" applyBorder="1" applyAlignment="1" applyProtection="1">
      <alignment horizontal="left" vertical="top" wrapText="1"/>
      <protection hidden="1"/>
    </xf>
    <xf numFmtId="0" fontId="27" fillId="0" borderId="0" xfId="0" applyFont="1" applyAlignment="1" applyProtection="1">
      <alignment vertical="center"/>
      <protection hidden="1"/>
    </xf>
    <xf numFmtId="0" fontId="2" fillId="0" borderId="7" xfId="0" applyFont="1" applyBorder="1" applyAlignment="1" applyProtection="1">
      <alignment horizontal="left" vertical="center" wrapText="1"/>
      <protection hidden="1"/>
    </xf>
    <xf numFmtId="0" fontId="27" fillId="0" borderId="0" xfId="0" applyFont="1" applyAlignment="1" applyProtection="1">
      <alignment horizontal="left" vertical="center"/>
      <protection hidden="1"/>
    </xf>
    <xf numFmtId="187" fontId="0" fillId="0" borderId="0" xfId="0" applyNumberFormat="1" applyAlignment="1" applyProtection="1">
      <alignment horizontal="left" vertical="center"/>
      <protection hidden="1"/>
    </xf>
    <xf numFmtId="0" fontId="1" fillId="0" borderId="0" xfId="0" applyFont="1" applyAlignment="1" applyProtection="1">
      <alignment vertical="center"/>
      <protection hidden="1"/>
    </xf>
    <xf numFmtId="187" fontId="17" fillId="0" borderId="0" xfId="0" applyNumberFormat="1" applyFont="1" applyAlignment="1" applyProtection="1">
      <alignment horizontal="left" vertical="center"/>
      <protection hidden="1"/>
    </xf>
    <xf numFmtId="0" fontId="14" fillId="0" borderId="0" xfId="0" applyFont="1" applyAlignment="1" applyProtection="1">
      <alignment vertical="center"/>
      <protection hidden="1"/>
    </xf>
    <xf numFmtId="0" fontId="13" fillId="0" borderId="7" xfId="0" applyFont="1" applyBorder="1" applyAlignment="1" applyProtection="1">
      <alignment vertical="center"/>
      <protection hidden="1"/>
    </xf>
    <xf numFmtId="0" fontId="13" fillId="0" borderId="7" xfId="0" applyFont="1" applyBorder="1" applyAlignment="1" applyProtection="1">
      <alignment horizontal="left" vertical="center"/>
      <protection hidden="1"/>
    </xf>
    <xf numFmtId="0" fontId="29"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17" fillId="0" borderId="0" xfId="0" applyFont="1" applyProtection="1">
      <protection hidden="1"/>
    </xf>
    <xf numFmtId="0" fontId="33" fillId="0" borderId="0" xfId="0" applyFont="1" applyProtection="1">
      <protection hidden="1"/>
    </xf>
    <xf numFmtId="0" fontId="9" fillId="0" borderId="0" xfId="0" applyFont="1"/>
    <xf numFmtId="0" fontId="26" fillId="0" borderId="0" xfId="1" applyFont="1" applyFill="1" applyBorder="1" applyAlignment="1" applyProtection="1">
      <alignment horizontal="left"/>
    </xf>
    <xf numFmtId="0" fontId="3" fillId="0" borderId="0" xfId="0" applyFont="1"/>
    <xf numFmtId="0" fontId="20" fillId="3" borderId="0" xfId="0"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0" fontId="43" fillId="0" borderId="0" xfId="0" applyFont="1"/>
    <xf numFmtId="0" fontId="1" fillId="11" borderId="17" xfId="0" applyFont="1" applyFill="1" applyBorder="1" applyAlignment="1" applyProtection="1">
      <alignment vertical="center"/>
      <protection hidden="1"/>
    </xf>
    <xf numFmtId="0" fontId="0" fillId="11" borderId="17" xfId="0" applyFill="1" applyBorder="1" applyAlignment="1" applyProtection="1">
      <alignment vertical="center"/>
      <protection hidden="1"/>
    </xf>
    <xf numFmtId="0" fontId="0" fillId="11" borderId="18" xfId="0" applyFill="1" applyBorder="1" applyAlignment="1" applyProtection="1">
      <alignment vertical="center"/>
      <protection hidden="1"/>
    </xf>
    <xf numFmtId="187" fontId="17" fillId="11" borderId="8" xfId="0" applyNumberFormat="1" applyFont="1" applyFill="1" applyBorder="1" applyAlignment="1" applyProtection="1">
      <alignment horizontal="left" vertical="center"/>
      <protection locked="0"/>
    </xf>
    <xf numFmtId="0" fontId="8" fillId="3" borderId="0" xfId="0" applyFont="1" applyFill="1" applyAlignment="1">
      <alignment horizontal="left"/>
    </xf>
    <xf numFmtId="0" fontId="0" fillId="3" borderId="0" xfId="0" applyFill="1"/>
    <xf numFmtId="0" fontId="9" fillId="3" borderId="0" xfId="0" applyFont="1" applyFill="1" applyAlignment="1">
      <alignment horizontal="left" vertical="top" indent="1"/>
    </xf>
    <xf numFmtId="0" fontId="7" fillId="0" borderId="0" xfId="0" applyFont="1" applyAlignment="1" applyProtection="1">
      <alignment vertical="top"/>
      <protection hidden="1"/>
    </xf>
    <xf numFmtId="0" fontId="44" fillId="0" borderId="0" xfId="0" applyFont="1" applyAlignment="1" applyProtection="1">
      <alignment vertical="top"/>
      <protection hidden="1"/>
    </xf>
    <xf numFmtId="0" fontId="45" fillId="0" borderId="0" xfId="0" applyFont="1" applyProtection="1">
      <protection hidden="1"/>
    </xf>
    <xf numFmtId="0" fontId="44" fillId="0" borderId="0" xfId="0" applyFont="1" applyAlignment="1" applyProtection="1">
      <alignment vertical="center"/>
      <protection hidden="1"/>
    </xf>
    <xf numFmtId="0" fontId="47" fillId="0" borderId="0" xfId="0" applyFont="1" applyAlignment="1" applyProtection="1">
      <alignment vertical="center"/>
      <protection hidden="1"/>
    </xf>
    <xf numFmtId="0" fontId="46" fillId="0" borderId="0" xfId="0" applyFont="1" applyAlignment="1" applyProtection="1">
      <alignment vertical="center"/>
      <protection hidden="1"/>
    </xf>
    <xf numFmtId="0" fontId="48" fillId="0" borderId="0" xfId="0" applyFont="1" applyAlignment="1" applyProtection="1">
      <alignment vertical="center"/>
      <protection hidden="1"/>
    </xf>
    <xf numFmtId="0" fontId="49" fillId="0" borderId="0" xfId="0" applyFont="1" applyProtection="1">
      <protection hidden="1"/>
    </xf>
    <xf numFmtId="0" fontId="23" fillId="3" borderId="9" xfId="0" applyFont="1" applyFill="1" applyBorder="1" applyAlignment="1" applyProtection="1">
      <alignment horizontal="left" vertical="top" wrapText="1"/>
      <protection hidden="1"/>
    </xf>
    <xf numFmtId="0" fontId="22" fillId="3" borderId="11" xfId="0" applyFont="1" applyFill="1" applyBorder="1" applyAlignment="1" applyProtection="1">
      <alignment horizontal="left" vertical="top" wrapText="1"/>
      <protection hidden="1"/>
    </xf>
    <xf numFmtId="0" fontId="23" fillId="3" borderId="12" xfId="0" applyFont="1" applyFill="1" applyBorder="1" applyAlignment="1" applyProtection="1">
      <alignment horizontal="left" vertical="top" wrapText="1"/>
      <protection hidden="1"/>
    </xf>
    <xf numFmtId="0" fontId="22" fillId="3" borderId="14" xfId="0" applyFont="1" applyFill="1" applyBorder="1" applyAlignment="1" applyProtection="1">
      <alignment horizontal="left" vertical="top" wrapText="1"/>
      <protection hidden="1"/>
    </xf>
    <xf numFmtId="0" fontId="23" fillId="3" borderId="12" xfId="0" applyFont="1" applyFill="1" applyBorder="1" applyAlignment="1" applyProtection="1">
      <alignment horizontal="left" vertical="top"/>
      <protection hidden="1"/>
    </xf>
    <xf numFmtId="0" fontId="23" fillId="3" borderId="8" xfId="0" applyFont="1" applyFill="1" applyBorder="1" applyAlignment="1" applyProtection="1">
      <alignment horizontal="left" vertical="top" wrapText="1"/>
      <protection hidden="1"/>
    </xf>
    <xf numFmtId="0" fontId="22" fillId="3" borderId="18" xfId="0" applyFont="1" applyFill="1" applyBorder="1" applyAlignment="1" applyProtection="1">
      <alignment horizontal="left" vertical="top" wrapText="1"/>
      <protection hidden="1"/>
    </xf>
    <xf numFmtId="0" fontId="23" fillId="3" borderId="22" xfId="0" applyFont="1" applyFill="1" applyBorder="1" applyAlignment="1" applyProtection="1">
      <alignment horizontal="left" vertical="top" wrapText="1"/>
      <protection hidden="1"/>
    </xf>
    <xf numFmtId="0" fontId="22" fillId="3" borderId="23" xfId="0" applyFont="1" applyFill="1" applyBorder="1" applyAlignment="1" applyProtection="1">
      <alignment horizontal="left" vertical="top" wrapText="1"/>
      <protection hidden="1"/>
    </xf>
    <xf numFmtId="0" fontId="38" fillId="3" borderId="14" xfId="0" applyFont="1" applyFill="1" applyBorder="1" applyAlignment="1" applyProtection="1">
      <alignment horizontal="left" vertical="top" wrapText="1"/>
      <protection hidden="1"/>
    </xf>
    <xf numFmtId="0" fontId="23" fillId="3" borderId="22" xfId="0" applyFont="1" applyFill="1" applyBorder="1" applyAlignment="1" applyProtection="1">
      <alignment horizontal="left" vertical="top"/>
      <protection hidden="1"/>
    </xf>
    <xf numFmtId="0" fontId="0" fillId="3" borderId="22" xfId="0" applyFill="1" applyBorder="1" applyProtection="1">
      <protection hidden="1"/>
    </xf>
    <xf numFmtId="0" fontId="0" fillId="3" borderId="12" xfId="0" applyFill="1" applyBorder="1" applyProtection="1">
      <protection hidden="1"/>
    </xf>
    <xf numFmtId="0" fontId="12" fillId="3" borderId="14" xfId="0" applyFont="1" applyFill="1" applyBorder="1" applyProtection="1">
      <protection hidden="1"/>
    </xf>
    <xf numFmtId="0" fontId="8" fillId="13" borderId="0" xfId="0" applyFont="1" applyFill="1" applyProtection="1">
      <protection hidden="1"/>
    </xf>
    <xf numFmtId="0" fontId="39" fillId="13" borderId="0" xfId="0" applyFont="1" applyFill="1" applyAlignment="1" applyProtection="1">
      <alignment horizontal="left" vertical="top" indent="1"/>
      <protection hidden="1"/>
    </xf>
    <xf numFmtId="0" fontId="12" fillId="13" borderId="0" xfId="0" applyFont="1" applyFill="1" applyAlignment="1" applyProtection="1">
      <alignment horizontal="left" vertical="center" wrapText="1" indent="1"/>
      <protection hidden="1"/>
    </xf>
    <xf numFmtId="0" fontId="5" fillId="13" borderId="0" xfId="0" applyFont="1" applyFill="1" applyProtection="1">
      <protection hidden="1"/>
    </xf>
    <xf numFmtId="0" fontId="22" fillId="13" borderId="0" xfId="0" applyFont="1" applyFill="1" applyAlignment="1" applyProtection="1">
      <alignment horizontal="left" vertical="top" wrapText="1"/>
      <protection hidden="1"/>
    </xf>
    <xf numFmtId="0" fontId="15" fillId="13" borderId="0" xfId="1" applyFill="1" applyBorder="1" applyAlignment="1" applyProtection="1">
      <alignment horizontal="left" vertical="center" wrapText="1"/>
      <protection hidden="1"/>
    </xf>
    <xf numFmtId="0" fontId="23" fillId="13" borderId="0" xfId="0" applyFont="1" applyFill="1" applyAlignment="1" applyProtection="1">
      <alignment horizontal="left" vertical="top" wrapText="1"/>
      <protection hidden="1"/>
    </xf>
    <xf numFmtId="0" fontId="23" fillId="13" borderId="0" xfId="0" applyFont="1" applyFill="1" applyAlignment="1" applyProtection="1">
      <alignment horizontal="left" vertical="top"/>
      <protection hidden="1"/>
    </xf>
    <xf numFmtId="0" fontId="35" fillId="13" borderId="0" xfId="0" applyFont="1" applyFill="1" applyAlignment="1" applyProtection="1">
      <alignment horizontal="left" vertical="top" wrapText="1"/>
      <protection hidden="1"/>
    </xf>
    <xf numFmtId="0" fontId="15" fillId="13" borderId="0" xfId="1" applyFill="1" applyAlignment="1" applyProtection="1">
      <alignment horizontal="left" vertical="top" wrapText="1"/>
      <protection hidden="1"/>
    </xf>
    <xf numFmtId="0" fontId="2" fillId="0" borderId="0" xfId="0" quotePrefix="1" applyFont="1" applyAlignment="1" applyProtection="1">
      <alignment vertical="center"/>
      <protection hidden="1"/>
    </xf>
    <xf numFmtId="0" fontId="28" fillId="0" borderId="0" xfId="0" quotePrefix="1" applyFont="1" applyAlignment="1" applyProtection="1">
      <alignment vertical="center"/>
      <protection hidden="1"/>
    </xf>
    <xf numFmtId="0" fontId="14" fillId="3" borderId="7" xfId="0" applyFont="1" applyFill="1" applyBorder="1" applyAlignment="1" applyProtection="1">
      <alignment vertical="top" wrapText="1"/>
      <protection hidden="1"/>
    </xf>
    <xf numFmtId="0" fontId="34" fillId="3" borderId="7" xfId="0" applyFont="1" applyFill="1" applyBorder="1" applyAlignment="1" applyProtection="1">
      <alignment vertical="top" wrapText="1"/>
      <protection locked="0"/>
    </xf>
    <xf numFmtId="0" fontId="10" fillId="3" borderId="4" xfId="0" applyFont="1" applyFill="1" applyBorder="1" applyAlignment="1" applyProtection="1">
      <alignment vertical="top"/>
      <protection locked="0"/>
    </xf>
    <xf numFmtId="0" fontId="10" fillId="3" borderId="7" xfId="0" applyFont="1" applyFill="1" applyBorder="1" applyAlignment="1" applyProtection="1">
      <alignment vertical="top" wrapText="1"/>
      <protection locked="0"/>
    </xf>
    <xf numFmtId="0" fontId="0" fillId="15" borderId="44" xfId="0" applyFill="1" applyBorder="1" applyProtection="1">
      <protection hidden="1"/>
    </xf>
    <xf numFmtId="0" fontId="0" fillId="15" borderId="44" xfId="0" applyFill="1" applyBorder="1" applyAlignment="1" applyProtection="1">
      <alignment horizontal="left" vertical="top"/>
      <protection hidden="1"/>
    </xf>
    <xf numFmtId="0" fontId="3" fillId="15" borderId="44" xfId="0" applyFont="1" applyFill="1" applyBorder="1" applyProtection="1">
      <protection hidden="1"/>
    </xf>
    <xf numFmtId="0" fontId="0" fillId="15" borderId="45" xfId="0" applyFill="1" applyBorder="1" applyProtection="1">
      <protection hidden="1"/>
    </xf>
    <xf numFmtId="0" fontId="0" fillId="15" borderId="0" xfId="0" applyFill="1" applyProtection="1">
      <protection hidden="1"/>
    </xf>
    <xf numFmtId="0" fontId="0" fillId="15" borderId="0" xfId="0" applyFill="1" applyAlignment="1" applyProtection="1">
      <alignment horizontal="left" vertical="top"/>
      <protection hidden="1"/>
    </xf>
    <xf numFmtId="0" fontId="0" fillId="15" borderId="46" xfId="0" applyFill="1" applyBorder="1" applyProtection="1">
      <protection hidden="1"/>
    </xf>
    <xf numFmtId="0" fontId="0" fillId="15" borderId="38" xfId="0" applyFill="1" applyBorder="1" applyProtection="1">
      <protection hidden="1"/>
    </xf>
    <xf numFmtId="0" fontId="0" fillId="15" borderId="38" xfId="0" applyFill="1" applyBorder="1" applyAlignment="1" applyProtection="1">
      <alignment horizontal="left" vertical="top"/>
      <protection hidden="1"/>
    </xf>
    <xf numFmtId="0" fontId="3" fillId="15" borderId="38" xfId="0" applyFont="1" applyFill="1" applyBorder="1" applyProtection="1">
      <protection hidden="1"/>
    </xf>
    <xf numFmtId="0" fontId="0" fillId="15" borderId="40" xfId="0" applyFill="1" applyBorder="1" applyProtection="1">
      <protection hidden="1"/>
    </xf>
    <xf numFmtId="0" fontId="0" fillId="0" borderId="0" xfId="0" applyAlignment="1" applyProtection="1">
      <alignment horizontal="left" vertical="top"/>
      <protection hidden="1"/>
    </xf>
    <xf numFmtId="0" fontId="6" fillId="0" borderId="0" xfId="0" applyFont="1" applyAlignment="1" applyProtection="1">
      <alignment vertical="top"/>
      <protection hidden="1"/>
    </xf>
    <xf numFmtId="0" fontId="10" fillId="0" borderId="8" xfId="0" applyFont="1" applyBorder="1" applyAlignment="1" applyProtection="1">
      <alignment vertical="center"/>
      <protection hidden="1"/>
    </xf>
    <xf numFmtId="0" fontId="14" fillId="0" borderId="42" xfId="0" applyFont="1" applyBorder="1" applyAlignment="1" applyProtection="1">
      <alignment horizontal="left" vertical="top"/>
      <protection hidden="1"/>
    </xf>
    <xf numFmtId="0" fontId="0" fillId="0" borderId="42" xfId="0" quotePrefix="1" applyBorder="1" applyProtection="1">
      <protection hidden="1"/>
    </xf>
    <xf numFmtId="0" fontId="14" fillId="0" borderId="7" xfId="0" applyFont="1" applyBorder="1" applyAlignment="1" applyProtection="1">
      <alignment horizontal="left" vertical="top"/>
      <protection hidden="1"/>
    </xf>
    <xf numFmtId="0" fontId="14" fillId="0" borderId="42" xfId="0" quotePrefix="1" applyFont="1" applyBorder="1" applyProtection="1">
      <protection hidden="1"/>
    </xf>
    <xf numFmtId="0" fontId="0" fillId="3" borderId="7" xfId="0" applyFill="1" applyBorder="1" applyAlignment="1" applyProtection="1">
      <alignment horizontal="left" vertical="top"/>
      <protection locked="0"/>
    </xf>
    <xf numFmtId="0" fontId="14" fillId="3" borderId="7" xfId="0" applyFont="1" applyFill="1" applyBorder="1" applyAlignment="1" applyProtection="1">
      <alignment horizontal="left" vertical="top"/>
      <protection locked="0"/>
    </xf>
    <xf numFmtId="0" fontId="15" fillId="7" borderId="7" xfId="1" applyFill="1" applyBorder="1" applyAlignment="1" applyProtection="1">
      <alignment horizontal="left" vertical="top" wrapText="1"/>
      <protection locked="0"/>
    </xf>
    <xf numFmtId="0" fontId="1" fillId="7" borderId="7" xfId="0" applyFont="1" applyFill="1" applyBorder="1" applyAlignment="1" applyProtection="1">
      <alignment horizontal="left" vertical="top" wrapText="1"/>
      <protection locked="0"/>
    </xf>
    <xf numFmtId="0" fontId="1" fillId="0" borderId="0" xfId="0" applyFont="1" applyAlignment="1" applyProtection="1">
      <alignment horizontal="center"/>
      <protection hidden="1"/>
    </xf>
    <xf numFmtId="0" fontId="0" fillId="0" borderId="0" xfId="0" applyAlignment="1" applyProtection="1">
      <alignment horizontal="right"/>
      <protection hidden="1"/>
    </xf>
    <xf numFmtId="0" fontId="4" fillId="0" borderId="0" xfId="0" applyFont="1" applyProtection="1">
      <protection hidden="1"/>
    </xf>
    <xf numFmtId="0" fontId="1" fillId="0" borderId="0" xfId="0" quotePrefix="1" applyFont="1" applyProtection="1">
      <protection hidden="1"/>
    </xf>
    <xf numFmtId="0" fontId="1" fillId="0" borderId="0" xfId="0" quotePrefix="1" applyFont="1" applyAlignment="1" applyProtection="1">
      <alignment horizontal="left" vertical="top"/>
      <protection hidden="1"/>
    </xf>
    <xf numFmtId="0" fontId="1" fillId="0" borderId="0" xfId="0" applyFont="1" applyAlignment="1" applyProtection="1">
      <alignment horizontal="right"/>
      <protection hidden="1"/>
    </xf>
    <xf numFmtId="0" fontId="6" fillId="0" borderId="0" xfId="0" applyFont="1" applyAlignment="1" applyProtection="1">
      <alignment horizontal="right"/>
      <protection hidden="1"/>
    </xf>
    <xf numFmtId="0" fontId="4" fillId="0" borderId="0" xfId="0" quotePrefix="1" applyFont="1" applyAlignment="1" applyProtection="1">
      <alignment horizontal="left" vertical="top"/>
      <protection hidden="1"/>
    </xf>
    <xf numFmtId="0" fontId="1" fillId="0" borderId="0" xfId="0" applyFont="1" applyAlignment="1" applyProtection="1">
      <alignment wrapText="1"/>
      <protection hidden="1"/>
    </xf>
    <xf numFmtId="0" fontId="1" fillId="3" borderId="48" xfId="0" applyFont="1" applyFill="1" applyBorder="1" applyProtection="1">
      <protection hidden="1"/>
    </xf>
    <xf numFmtId="0" fontId="1" fillId="3" borderId="52" xfId="0" applyFont="1" applyFill="1" applyBorder="1" applyProtection="1">
      <protection hidden="1"/>
    </xf>
    <xf numFmtId="0" fontId="0" fillId="3" borderId="47" xfId="0" applyFill="1" applyBorder="1" applyProtection="1">
      <protection hidden="1"/>
    </xf>
    <xf numFmtId="0" fontId="0" fillId="3" borderId="49" xfId="0" applyFill="1" applyBorder="1" applyProtection="1">
      <protection hidden="1"/>
    </xf>
    <xf numFmtId="0" fontId="0" fillId="3" borderId="50" xfId="0" applyFill="1" applyBorder="1" applyProtection="1">
      <protection hidden="1"/>
    </xf>
    <xf numFmtId="0" fontId="1" fillId="3" borderId="0" xfId="0" applyFont="1" applyFill="1" applyProtection="1">
      <protection hidden="1"/>
    </xf>
    <xf numFmtId="0" fontId="0" fillId="3" borderId="51" xfId="0" applyFill="1" applyBorder="1" applyProtection="1">
      <protection hidden="1"/>
    </xf>
    <xf numFmtId="0" fontId="1" fillId="3" borderId="53" xfId="0" applyFont="1" applyFill="1" applyBorder="1" applyProtection="1">
      <protection hidden="1"/>
    </xf>
    <xf numFmtId="0" fontId="1" fillId="3" borderId="54" xfId="0" applyFont="1" applyFill="1" applyBorder="1" applyProtection="1">
      <protection hidden="1"/>
    </xf>
    <xf numFmtId="0" fontId="4" fillId="4" borderId="0" xfId="0" applyFont="1" applyFill="1" applyAlignment="1" applyProtection="1">
      <alignment horizontal="right" vertical="top" wrapText="1" indent="1"/>
      <protection hidden="1"/>
    </xf>
    <xf numFmtId="0" fontId="1" fillId="0" borderId="0" xfId="0" applyFont="1" applyAlignment="1" applyProtection="1">
      <alignment vertical="top" wrapText="1"/>
      <protection hidden="1"/>
    </xf>
    <xf numFmtId="0" fontId="42" fillId="17" borderId="0" xfId="0" applyFont="1" applyFill="1" applyAlignment="1">
      <alignment vertical="center" wrapText="1"/>
    </xf>
    <xf numFmtId="0" fontId="2" fillId="0" borderId="0" xfId="0" applyFont="1" applyAlignment="1" applyProtection="1">
      <alignment horizontal="left" vertical="top" wrapText="1"/>
      <protection hidden="1"/>
    </xf>
    <xf numFmtId="0" fontId="31" fillId="17" borderId="0" xfId="0" applyFont="1" applyFill="1" applyAlignment="1">
      <alignment vertical="center" wrapText="1"/>
    </xf>
    <xf numFmtId="0" fontId="42" fillId="17" borderId="0" xfId="0" applyFont="1" applyFill="1"/>
    <xf numFmtId="0" fontId="15" fillId="3" borderId="23" xfId="1" applyFill="1" applyBorder="1" applyAlignment="1" applyProtection="1">
      <alignment horizontal="left" vertical="top" wrapText="1"/>
      <protection hidden="1"/>
    </xf>
    <xf numFmtId="0" fontId="4" fillId="4" borderId="0" xfId="0" applyFont="1" applyFill="1" applyAlignment="1" applyProtection="1">
      <alignment horizontal="right"/>
      <protection hidden="1"/>
    </xf>
    <xf numFmtId="0" fontId="31" fillId="4" borderId="0" xfId="0" applyFont="1" applyFill="1" applyProtection="1">
      <protection hidden="1"/>
    </xf>
    <xf numFmtId="0" fontId="42" fillId="4" borderId="0" xfId="0" applyFont="1" applyFill="1" applyProtection="1">
      <protection hidden="1"/>
    </xf>
    <xf numFmtId="0" fontId="31" fillId="4" borderId="0" xfId="0" applyFont="1" applyFill="1" applyAlignment="1">
      <alignment vertical="center" wrapText="1"/>
    </xf>
    <xf numFmtId="0" fontId="42" fillId="4" borderId="0" xfId="0" applyFont="1" applyFill="1"/>
    <xf numFmtId="0" fontId="42" fillId="4" borderId="0" xfId="0" applyFont="1" applyFill="1" applyAlignment="1">
      <alignment vertical="center" wrapText="1"/>
    </xf>
    <xf numFmtId="0" fontId="42" fillId="4" borderId="0" xfId="0" applyFont="1" applyFill="1" applyAlignment="1">
      <alignment horizontal="left" vertical="center" wrapText="1" indent="1"/>
    </xf>
    <xf numFmtId="0" fontId="42" fillId="4" borderId="0" xfId="0" applyFont="1" applyFill="1" applyAlignment="1">
      <alignment wrapText="1"/>
    </xf>
    <xf numFmtId="0" fontId="31" fillId="4" borderId="0" xfId="0" applyFont="1" applyFill="1" applyAlignment="1">
      <alignment wrapText="1"/>
    </xf>
    <xf numFmtId="0" fontId="1" fillId="17" borderId="0" xfId="0" applyFont="1" applyFill="1" applyProtection="1">
      <protection hidden="1"/>
    </xf>
    <xf numFmtId="0" fontId="31" fillId="17" borderId="0" xfId="0" applyFont="1" applyFill="1" applyProtection="1">
      <protection hidden="1"/>
    </xf>
    <xf numFmtId="0" fontId="42" fillId="17" borderId="0" xfId="0" applyFont="1" applyFill="1" applyProtection="1">
      <protection hidden="1"/>
    </xf>
    <xf numFmtId="0" fontId="4" fillId="17" borderId="0" xfId="0" applyFont="1" applyFill="1" applyAlignment="1" applyProtection="1">
      <alignment horizontal="right" vertical="top" indent="1"/>
      <protection hidden="1"/>
    </xf>
    <xf numFmtId="0" fontId="42" fillId="17" borderId="0" xfId="0" applyFont="1" applyFill="1" applyAlignment="1" applyProtection="1">
      <alignment wrapText="1"/>
      <protection hidden="1"/>
    </xf>
    <xf numFmtId="0" fontId="42" fillId="17" borderId="0" xfId="0" applyFont="1" applyFill="1" applyAlignment="1">
      <alignment wrapText="1"/>
    </xf>
    <xf numFmtId="0" fontId="31" fillId="17" borderId="0" xfId="0" applyFont="1" applyFill="1" applyAlignment="1">
      <alignment vertical="center"/>
    </xf>
    <xf numFmtId="0" fontId="15" fillId="7" borderId="0" xfId="1" applyFill="1" applyBorder="1" applyAlignment="1" applyProtection="1">
      <alignment horizontal="left" vertical="top" wrapText="1"/>
      <protection locked="0"/>
    </xf>
    <xf numFmtId="0" fontId="0" fillId="0" borderId="58" xfId="0" applyBorder="1" applyAlignment="1" applyProtection="1">
      <alignment horizontal="left" vertical="top"/>
      <protection hidden="1"/>
    </xf>
    <xf numFmtId="0" fontId="15" fillId="16" borderId="8" xfId="1" applyFill="1" applyBorder="1" applyAlignment="1" applyProtection="1">
      <alignment vertical="top" wrapText="1"/>
      <protection locked="0"/>
    </xf>
    <xf numFmtId="0" fontId="1" fillId="0" borderId="7" xfId="0" applyFont="1" applyBorder="1" applyAlignment="1" applyProtection="1">
      <alignment vertical="top" wrapText="1"/>
      <protection hidden="1"/>
    </xf>
    <xf numFmtId="0" fontId="0" fillId="17" borderId="7" xfId="0" applyFill="1" applyBorder="1" applyAlignment="1">
      <alignment vertical="top"/>
    </xf>
    <xf numFmtId="0" fontId="52" fillId="0" borderId="0" xfId="1" applyFont="1" applyAlignment="1" applyProtection="1">
      <alignment horizontal="right" wrapText="1"/>
      <protection locked="0"/>
    </xf>
    <xf numFmtId="0" fontId="53" fillId="0" borderId="0" xfId="0" applyFont="1" applyProtection="1">
      <protection hidden="1"/>
    </xf>
    <xf numFmtId="0" fontId="4" fillId="9" borderId="7" xfId="0" applyFont="1" applyFill="1" applyBorder="1" applyAlignment="1" applyProtection="1">
      <alignment horizontal="left" vertical="top" wrapText="1"/>
      <protection hidden="1"/>
    </xf>
    <xf numFmtId="0" fontId="1" fillId="9" borderId="7" xfId="0" applyFont="1" applyFill="1" applyBorder="1" applyAlignment="1" applyProtection="1">
      <alignment horizontal="left" vertical="top" wrapText="1"/>
      <protection hidden="1"/>
    </xf>
    <xf numFmtId="0" fontId="14" fillId="17" borderId="7" xfId="0" applyFont="1" applyFill="1" applyBorder="1" applyAlignment="1" applyProtection="1">
      <alignment horizontal="left" vertical="top" wrapText="1"/>
      <protection hidden="1"/>
    </xf>
    <xf numFmtId="0" fontId="4" fillId="9" borderId="7" xfId="0" applyFont="1" applyFill="1" applyBorder="1" applyAlignment="1">
      <alignment horizontal="left" vertical="top" wrapText="1"/>
    </xf>
    <xf numFmtId="0" fontId="1" fillId="9" borderId="7" xfId="0" applyFont="1" applyFill="1" applyBorder="1" applyAlignment="1">
      <alignment horizontal="left" vertical="top" wrapText="1"/>
    </xf>
    <xf numFmtId="0" fontId="55" fillId="0" borderId="0" xfId="0" applyFont="1"/>
    <xf numFmtId="0" fontId="10" fillId="3" borderId="4" xfId="0" applyFont="1" applyFill="1" applyBorder="1" applyAlignment="1" applyProtection="1">
      <alignment vertical="top"/>
      <protection locked="0" hidden="1"/>
    </xf>
    <xf numFmtId="0" fontId="10" fillId="3" borderId="4" xfId="0" quotePrefix="1" applyFont="1" applyFill="1" applyBorder="1" applyAlignment="1" applyProtection="1">
      <alignment vertical="top"/>
      <protection locked="0" hidden="1"/>
    </xf>
    <xf numFmtId="0" fontId="34" fillId="3" borderId="7" xfId="0" applyFont="1" applyFill="1" applyBorder="1" applyAlignment="1" applyProtection="1">
      <alignment vertical="top" wrapText="1"/>
      <protection locked="0" hidden="1"/>
    </xf>
    <xf numFmtId="0" fontId="43" fillId="0" borderId="7" xfId="0" applyFont="1" applyBorder="1" applyAlignment="1" applyProtection="1">
      <alignment horizontal="left" vertical="top"/>
      <protection hidden="1"/>
    </xf>
    <xf numFmtId="0" fontId="43" fillId="0" borderId="7" xfId="0" quotePrefix="1" applyFont="1" applyBorder="1" applyAlignment="1" applyProtection="1">
      <alignment horizontal="left" vertical="top"/>
      <protection hidden="1"/>
    </xf>
    <xf numFmtId="0" fontId="28" fillId="16" borderId="7" xfId="0" applyFont="1" applyFill="1" applyBorder="1" applyAlignment="1" applyProtection="1">
      <alignment vertical="top" wrapText="1"/>
      <protection hidden="1"/>
    </xf>
    <xf numFmtId="0" fontId="17" fillId="3" borderId="7" xfId="0" applyFont="1" applyFill="1" applyBorder="1" applyAlignment="1" applyProtection="1">
      <alignment horizontal="left" vertical="top" wrapText="1"/>
      <protection locked="0" hidden="1"/>
    </xf>
    <xf numFmtId="0" fontId="14" fillId="17" borderId="7" xfId="0" quotePrefix="1" applyFont="1" applyFill="1" applyBorder="1" applyAlignment="1" applyProtection="1">
      <alignment horizontal="left" vertical="top" wrapText="1"/>
      <protection hidden="1"/>
    </xf>
    <xf numFmtId="0" fontId="4" fillId="7" borderId="35" xfId="0" applyFont="1" applyFill="1" applyBorder="1" applyAlignment="1" applyProtection="1">
      <alignment horizontal="left" vertical="top" wrapText="1"/>
      <protection hidden="1"/>
    </xf>
    <xf numFmtId="0" fontId="4" fillId="7" borderId="19" xfId="0" applyFont="1" applyFill="1" applyBorder="1" applyAlignment="1">
      <alignment horizontal="left" vertical="top" wrapText="1"/>
    </xf>
    <xf numFmtId="0" fontId="4" fillId="9" borderId="9" xfId="0" applyFont="1" applyFill="1" applyBorder="1" applyAlignment="1" applyProtection="1">
      <alignment horizontal="left" vertical="top" wrapText="1"/>
      <protection hidden="1"/>
    </xf>
    <xf numFmtId="0" fontId="4" fillId="9" borderId="22" xfId="0" applyFont="1" applyFill="1" applyBorder="1" applyAlignment="1" applyProtection="1">
      <alignment horizontal="left" vertical="top" wrapText="1"/>
      <protection hidden="1"/>
    </xf>
    <xf numFmtId="0" fontId="25" fillId="3" borderId="0" xfId="0" applyFont="1" applyFill="1"/>
    <xf numFmtId="0" fontId="16" fillId="3" borderId="0" xfId="0" applyFont="1" applyFill="1" applyAlignment="1">
      <alignment vertical="center"/>
    </xf>
    <xf numFmtId="0" fontId="17" fillId="3" borderId="0" xfId="0" applyFont="1" applyFill="1" applyAlignment="1">
      <alignment vertical="center"/>
    </xf>
    <xf numFmtId="0" fontId="0" fillId="0" borderId="0" xfId="0" applyAlignment="1">
      <alignment horizontal="left" vertical="top"/>
    </xf>
    <xf numFmtId="0" fontId="56" fillId="0" borderId="0" xfId="0" applyFont="1" applyAlignment="1">
      <alignment horizontal="left" vertical="top"/>
    </xf>
    <xf numFmtId="0" fontId="57" fillId="8" borderId="20" xfId="0" applyFont="1" applyFill="1" applyBorder="1" applyAlignment="1">
      <alignment horizontal="left" vertical="top" wrapText="1" indent="1"/>
    </xf>
    <xf numFmtId="0" fontId="57" fillId="8" borderId="59" xfId="0" applyFont="1" applyFill="1" applyBorder="1" applyAlignment="1">
      <alignment horizontal="left" vertical="top" wrapText="1" indent="1"/>
    </xf>
    <xf numFmtId="0" fontId="12" fillId="8" borderId="60" xfId="0" applyFont="1" applyFill="1" applyBorder="1" applyAlignment="1">
      <alignment horizontal="left" vertical="top" wrapText="1" indent="1"/>
    </xf>
    <xf numFmtId="0" fontId="58" fillId="0" borderId="54" xfId="0" applyFont="1" applyBorder="1" applyAlignment="1">
      <alignment horizontal="left" vertical="top" wrapText="1" indent="1"/>
    </xf>
    <xf numFmtId="0" fontId="59" fillId="0" borderId="0" xfId="0" applyFont="1"/>
    <xf numFmtId="0" fontId="11" fillId="0" borderId="0" xfId="0" applyFont="1"/>
    <xf numFmtId="0" fontId="14" fillId="0" borderId="0" xfId="0" applyFont="1"/>
    <xf numFmtId="0" fontId="60" fillId="0" borderId="0" xfId="0" applyFont="1" applyAlignment="1">
      <alignment vertical="center"/>
    </xf>
    <xf numFmtId="0" fontId="12" fillId="0" borderId="0" xfId="0" applyFont="1"/>
    <xf numFmtId="0" fontId="64" fillId="0" borderId="0" xfId="0" applyFont="1" applyAlignment="1">
      <alignment horizontal="left" vertical="center" indent="4"/>
    </xf>
    <xf numFmtId="0" fontId="58" fillId="0" borderId="0" xfId="0" applyFont="1" applyAlignment="1">
      <alignment horizontal="left" vertical="top" wrapText="1" indent="1"/>
    </xf>
    <xf numFmtId="0" fontId="12" fillId="0" borderId="0" xfId="0" applyFont="1" applyAlignment="1">
      <alignment horizontal="left" vertical="top" wrapText="1" indent="1"/>
    </xf>
    <xf numFmtId="0" fontId="11" fillId="0" borderId="0" xfId="0" applyFont="1" applyAlignment="1">
      <alignment horizontal="left"/>
    </xf>
    <xf numFmtId="0" fontId="58" fillId="0" borderId="0" xfId="0" applyFont="1" applyAlignment="1">
      <alignment horizontal="left" vertical="top" wrapText="1"/>
    </xf>
    <xf numFmtId="0" fontId="15" fillId="0" borderId="0" xfId="1" applyAlignment="1"/>
    <xf numFmtId="0" fontId="62" fillId="0" borderId="0" xfId="0" applyFont="1" applyAlignment="1">
      <alignment vertical="center"/>
    </xf>
    <xf numFmtId="0" fontId="43" fillId="4" borderId="10" xfId="0" applyFont="1" applyFill="1" applyBorder="1" applyAlignment="1" applyProtection="1">
      <alignment horizontal="left" vertical="top"/>
      <protection hidden="1"/>
    </xf>
    <xf numFmtId="0" fontId="43" fillId="4" borderId="10" xfId="0" applyFont="1" applyFill="1" applyBorder="1" applyAlignment="1" applyProtection="1">
      <alignment horizontal="left" vertical="top" wrapText="1"/>
      <protection hidden="1"/>
    </xf>
    <xf numFmtId="0" fontId="43" fillId="4" borderId="0" xfId="0" applyFont="1" applyFill="1" applyAlignment="1" applyProtection="1">
      <alignment horizontal="left" vertical="top"/>
      <protection hidden="1"/>
    </xf>
    <xf numFmtId="0" fontId="43" fillId="4" borderId="0" xfId="0" applyFont="1" applyFill="1" applyAlignment="1" applyProtection="1">
      <alignment horizontal="center"/>
      <protection hidden="1"/>
    </xf>
    <xf numFmtId="0" fontId="68" fillId="4" borderId="13" xfId="0" applyFont="1" applyFill="1" applyBorder="1" applyAlignment="1" applyProtection="1">
      <alignment horizontal="left" vertical="top"/>
      <protection hidden="1"/>
    </xf>
    <xf numFmtId="0" fontId="43" fillId="0" borderId="0" xfId="0" applyFont="1" applyAlignment="1" applyProtection="1">
      <alignment horizontal="left" vertical="top"/>
      <protection hidden="1"/>
    </xf>
    <xf numFmtId="0" fontId="43" fillId="0" borderId="0" xfId="0" applyFont="1" applyProtection="1">
      <protection hidden="1"/>
    </xf>
    <xf numFmtId="0" fontId="68" fillId="0" borderId="7" xfId="0" applyFont="1" applyBorder="1" applyAlignment="1" applyProtection="1">
      <alignment horizontal="left" vertical="top"/>
      <protection hidden="1"/>
    </xf>
    <xf numFmtId="0" fontId="69" fillId="0" borderId="7" xfId="0" quotePrefix="1" applyFont="1" applyBorder="1" applyAlignment="1" applyProtection="1">
      <alignment horizontal="left" vertical="top"/>
      <protection hidden="1"/>
    </xf>
    <xf numFmtId="0" fontId="43" fillId="0" borderId="7" xfId="0" applyFont="1" applyBorder="1" applyAlignment="1" applyProtection="1">
      <alignment vertical="top"/>
      <protection hidden="1"/>
    </xf>
    <xf numFmtId="0" fontId="69" fillId="0" borderId="7" xfId="0" applyFont="1" applyBorder="1" applyAlignment="1" applyProtection="1">
      <alignment horizontal="left" vertical="top"/>
      <protection hidden="1"/>
    </xf>
    <xf numFmtId="0" fontId="43" fillId="0" borderId="7" xfId="0" quotePrefix="1" applyFont="1" applyBorder="1" applyAlignment="1" applyProtection="1">
      <alignment vertical="top"/>
      <protection hidden="1"/>
    </xf>
    <xf numFmtId="0" fontId="15" fillId="7" borderId="7" xfId="1" applyFill="1" applyBorder="1" applyAlignment="1" applyProtection="1">
      <alignment horizontal="left" vertical="top" wrapText="1"/>
      <protection locked="0" hidden="1"/>
    </xf>
    <xf numFmtId="0" fontId="15" fillId="0" borderId="0" xfId="1" applyAlignment="1" applyProtection="1">
      <protection locked="0"/>
    </xf>
    <xf numFmtId="0" fontId="43" fillId="0" borderId="0" xfId="0" applyFont="1" applyAlignment="1" applyProtection="1">
      <alignment horizontal="center"/>
      <protection hidden="1"/>
    </xf>
    <xf numFmtId="0" fontId="43" fillId="0" borderId="0" xfId="0" applyFont="1" applyAlignment="1" applyProtection="1">
      <alignment horizontal="right"/>
      <protection hidden="1"/>
    </xf>
    <xf numFmtId="0" fontId="71" fillId="0" borderId="0" xfId="0" applyFont="1" applyProtection="1">
      <protection hidden="1"/>
    </xf>
    <xf numFmtId="0" fontId="43" fillId="0" borderId="0" xfId="0" quotePrefix="1" applyFont="1" applyProtection="1">
      <protection hidden="1"/>
    </xf>
    <xf numFmtId="0" fontId="72" fillId="0" borderId="0" xfId="0" applyFont="1" applyProtection="1">
      <protection hidden="1"/>
    </xf>
    <xf numFmtId="0" fontId="43" fillId="0" borderId="0" xfId="0" quotePrefix="1" applyFont="1" applyAlignment="1" applyProtection="1">
      <alignment horizontal="left" vertical="top"/>
      <protection hidden="1"/>
    </xf>
    <xf numFmtId="0" fontId="71" fillId="0" borderId="0" xfId="0" applyFont="1" applyAlignment="1" applyProtection="1">
      <alignment horizontal="right"/>
      <protection hidden="1"/>
    </xf>
    <xf numFmtId="0" fontId="71" fillId="0" borderId="0" xfId="0" quotePrefix="1" applyFont="1" applyAlignment="1" applyProtection="1">
      <alignment horizontal="left" vertical="top"/>
      <protection hidden="1"/>
    </xf>
    <xf numFmtId="0" fontId="70" fillId="0" borderId="0" xfId="0" applyFont="1" applyAlignment="1" applyProtection="1">
      <alignment horizontal="center" vertical="center"/>
      <protection hidden="1"/>
    </xf>
    <xf numFmtId="0" fontId="43" fillId="0" borderId="0" xfId="0" applyFont="1" applyAlignment="1" applyProtection="1">
      <alignment vertical="center"/>
      <protection hidden="1"/>
    </xf>
    <xf numFmtId="0" fontId="43" fillId="3" borderId="0" xfId="0" applyFont="1" applyFill="1" applyProtection="1">
      <protection hidden="1"/>
    </xf>
    <xf numFmtId="0" fontId="70" fillId="3" borderId="0" xfId="0" applyFont="1" applyFill="1" applyAlignment="1" applyProtection="1">
      <alignment horizontal="center" vertical="center"/>
      <protection hidden="1"/>
    </xf>
    <xf numFmtId="0" fontId="16" fillId="3" borderId="0" xfId="0" applyFont="1" applyFill="1" applyAlignment="1">
      <alignment horizontal="left" vertical="center"/>
    </xf>
    <xf numFmtId="0" fontId="18" fillId="3" borderId="0" xfId="0" applyFont="1" applyFill="1" applyAlignment="1">
      <alignment horizontal="left" vertical="center"/>
    </xf>
    <xf numFmtId="0" fontId="15" fillId="3" borderId="0" xfId="1" applyFill="1" applyBorder="1" applyAlignment="1" applyProtection="1">
      <alignment horizontal="left" vertical="center"/>
    </xf>
    <xf numFmtId="0" fontId="40" fillId="3" borderId="0" xfId="1" applyFont="1" applyFill="1" applyBorder="1" applyAlignment="1" applyProtection="1">
      <alignment horizontal="left" vertical="center"/>
    </xf>
    <xf numFmtId="0" fontId="15" fillId="3" borderId="0" xfId="1" applyFill="1" applyAlignment="1" applyProtection="1">
      <alignment horizontal="left" vertical="center"/>
    </xf>
    <xf numFmtId="0" fontId="26" fillId="3" borderId="0" xfId="1" applyFont="1" applyFill="1" applyBorder="1" applyAlignment="1" applyProtection="1">
      <alignment horizontal="left"/>
    </xf>
    <xf numFmtId="0" fontId="46" fillId="2" borderId="2" xfId="0" applyFont="1" applyFill="1" applyBorder="1" applyAlignment="1" applyProtection="1">
      <alignment horizontal="left" vertical="center"/>
      <protection hidden="1"/>
    </xf>
    <xf numFmtId="0" fontId="0" fillId="11" borderId="2" xfId="0" applyFill="1" applyBorder="1" applyAlignment="1" applyProtection="1">
      <alignment horizontal="left" vertical="center"/>
      <protection hidden="1"/>
    </xf>
    <xf numFmtId="0" fontId="1" fillId="11" borderId="3" xfId="0" applyFont="1" applyFill="1" applyBorder="1" applyAlignment="1" applyProtection="1">
      <alignment horizontal="left"/>
      <protection hidden="1"/>
    </xf>
    <xf numFmtId="0" fontId="46" fillId="2" borderId="5" xfId="0" applyFont="1" applyFill="1" applyBorder="1" applyAlignment="1" applyProtection="1">
      <alignment horizontal="left" vertical="center"/>
      <protection hidden="1"/>
    </xf>
    <xf numFmtId="0" fontId="14" fillId="11" borderId="7" xfId="0" applyFont="1" applyFill="1" applyBorder="1" applyAlignment="1" applyProtection="1">
      <alignment horizontal="left" vertical="center" wrapText="1"/>
      <protection locked="0"/>
    </xf>
    <xf numFmtId="0" fontId="46" fillId="2" borderId="36" xfId="0" applyFont="1" applyFill="1" applyBorder="1" applyAlignment="1" applyProtection="1">
      <alignment horizontal="left" vertical="center" wrapText="1"/>
      <protection hidden="1"/>
    </xf>
    <xf numFmtId="0" fontId="46" fillId="2" borderId="7" xfId="0" applyFont="1" applyFill="1" applyBorder="1" applyAlignment="1" applyProtection="1">
      <alignment horizontal="left" vertical="center" wrapText="1"/>
      <protection hidden="1"/>
    </xf>
    <xf numFmtId="0" fontId="46" fillId="2" borderId="7" xfId="0" applyFont="1" applyFill="1" applyBorder="1" applyAlignment="1" applyProtection="1">
      <alignment horizontal="left" vertical="center"/>
      <protection hidden="1"/>
    </xf>
    <xf numFmtId="0" fontId="27" fillId="11" borderId="8" xfId="0" applyFont="1" applyFill="1" applyBorder="1" applyAlignment="1" applyProtection="1">
      <alignment horizontal="left" vertical="center"/>
      <protection locked="0"/>
    </xf>
    <xf numFmtId="0" fontId="27" fillId="11" borderId="17" xfId="0" applyFont="1" applyFill="1" applyBorder="1" applyAlignment="1" applyProtection="1">
      <alignment horizontal="left" vertical="center"/>
      <protection locked="0"/>
    </xf>
    <xf numFmtId="0" fontId="27" fillId="11" borderId="18" xfId="0" applyFont="1" applyFill="1" applyBorder="1" applyAlignment="1" applyProtection="1">
      <alignment horizontal="left" vertical="center"/>
      <protection locked="0"/>
    </xf>
    <xf numFmtId="0" fontId="27" fillId="11" borderId="8" xfId="0" applyFont="1" applyFill="1" applyBorder="1" applyAlignment="1" applyProtection="1">
      <alignment vertical="center" wrapText="1"/>
      <protection locked="0"/>
    </xf>
    <xf numFmtId="0" fontId="27" fillId="11" borderId="17" xfId="0" applyFont="1" applyFill="1" applyBorder="1" applyAlignment="1" applyProtection="1">
      <alignment vertical="center" wrapText="1"/>
      <protection locked="0"/>
    </xf>
    <xf numFmtId="0" fontId="27" fillId="11" borderId="18" xfId="0" applyFont="1" applyFill="1" applyBorder="1" applyAlignment="1" applyProtection="1">
      <alignment vertical="center" wrapText="1"/>
      <protection locked="0"/>
    </xf>
    <xf numFmtId="0" fontId="27" fillId="11" borderId="8" xfId="0" applyFont="1" applyFill="1" applyBorder="1" applyAlignment="1" applyProtection="1">
      <alignment vertical="center"/>
      <protection locked="0"/>
    </xf>
    <xf numFmtId="0" fontId="27" fillId="11" borderId="17" xfId="0" applyFont="1" applyFill="1" applyBorder="1" applyAlignment="1" applyProtection="1">
      <alignment vertical="center"/>
      <protection locked="0"/>
    </xf>
    <xf numFmtId="0" fontId="27" fillId="11" borderId="18" xfId="0" applyFont="1" applyFill="1" applyBorder="1" applyAlignment="1" applyProtection="1">
      <alignment vertical="center"/>
      <protection locked="0"/>
    </xf>
    <xf numFmtId="0" fontId="46" fillId="0" borderId="0" xfId="0" quotePrefix="1" applyFont="1" applyAlignment="1" applyProtection="1">
      <alignment vertical="center" wrapText="1"/>
      <protection hidden="1"/>
    </xf>
    <xf numFmtId="0" fontId="46" fillId="0" borderId="0" xfId="0" applyFont="1" applyAlignment="1" applyProtection="1">
      <alignment vertical="center" wrapText="1"/>
      <protection hidden="1"/>
    </xf>
    <xf numFmtId="0" fontId="46" fillId="0" borderId="0" xfId="0" applyFont="1" applyAlignment="1" applyProtection="1">
      <alignment vertical="center"/>
      <protection hidden="1"/>
    </xf>
    <xf numFmtId="0" fontId="27" fillId="11" borderId="12" xfId="0" applyFont="1" applyFill="1" applyBorder="1" applyAlignment="1" applyProtection="1">
      <alignment vertical="center" wrapText="1"/>
      <protection locked="0"/>
    </xf>
    <xf numFmtId="0" fontId="27" fillId="11" borderId="13" xfId="0" applyFont="1" applyFill="1" applyBorder="1" applyAlignment="1" applyProtection="1">
      <alignment vertical="center" wrapText="1"/>
      <protection locked="0"/>
    </xf>
    <xf numFmtId="0" fontId="27" fillId="11" borderId="14" xfId="0" applyFont="1" applyFill="1" applyBorder="1" applyAlignment="1" applyProtection="1">
      <alignment vertical="center" wrapText="1"/>
      <protection locked="0"/>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7" borderId="8" xfId="0" applyFont="1" applyFill="1" applyBorder="1" applyAlignment="1" applyProtection="1">
      <alignment horizontal="left" vertical="top" wrapText="1"/>
      <protection hidden="1"/>
    </xf>
    <xf numFmtId="0" fontId="2" fillId="7" borderId="18" xfId="0" applyFont="1" applyFill="1" applyBorder="1" applyAlignment="1" applyProtection="1">
      <alignment horizontal="left" vertical="top" wrapText="1"/>
      <protection hidden="1"/>
    </xf>
    <xf numFmtId="0" fontId="14" fillId="4" borderId="21" xfId="0" applyFont="1" applyFill="1" applyBorder="1" applyAlignment="1" applyProtection="1">
      <alignment horizontal="left" vertical="top" wrapText="1"/>
      <protection hidden="1"/>
    </xf>
    <xf numFmtId="0" fontId="14" fillId="4" borderId="19" xfId="0" applyFont="1" applyFill="1" applyBorder="1" applyAlignment="1" applyProtection="1">
      <alignment horizontal="left" vertical="top" wrapText="1"/>
      <protection hidden="1"/>
    </xf>
    <xf numFmtId="0" fontId="1" fillId="3" borderId="21" xfId="0" applyFont="1" applyFill="1" applyBorder="1" applyAlignment="1" applyProtection="1">
      <alignment horizontal="left" vertical="top" wrapText="1"/>
      <protection locked="0"/>
    </xf>
    <xf numFmtId="0" fontId="1" fillId="3" borderId="19" xfId="0" applyFont="1" applyFill="1" applyBorder="1" applyAlignment="1" applyProtection="1">
      <alignment horizontal="left" vertical="top" wrapText="1"/>
      <protection locked="0"/>
    </xf>
    <xf numFmtId="0" fontId="2" fillId="14" borderId="8" xfId="0" applyFont="1" applyFill="1" applyBorder="1" applyAlignment="1" applyProtection="1">
      <alignment horizontal="left" vertical="top" wrapText="1"/>
      <protection hidden="1"/>
    </xf>
    <xf numFmtId="0" fontId="2" fillId="14" borderId="18" xfId="0" applyFont="1" applyFill="1" applyBorder="1" applyAlignment="1" applyProtection="1">
      <alignment horizontal="left" vertical="top" wrapText="1"/>
      <protection hidden="1"/>
    </xf>
    <xf numFmtId="0" fontId="14" fillId="15" borderId="10" xfId="0" quotePrefix="1" applyFont="1" applyFill="1" applyBorder="1" applyAlignment="1" applyProtection="1">
      <alignment horizontal="left" vertical="top" wrapText="1"/>
      <protection hidden="1"/>
    </xf>
    <xf numFmtId="0" fontId="14" fillId="15" borderId="13" xfId="0" quotePrefix="1" applyFont="1" applyFill="1" applyBorder="1" applyAlignment="1" applyProtection="1">
      <alignment horizontal="left" vertical="top" wrapText="1"/>
      <protection hidden="1"/>
    </xf>
    <xf numFmtId="0" fontId="14" fillId="3" borderId="21" xfId="0" applyFont="1" applyFill="1" applyBorder="1" applyAlignment="1" applyProtection="1">
      <alignment horizontal="left" vertical="top"/>
      <protection locked="0"/>
    </xf>
    <xf numFmtId="0" fontId="0" fillId="3" borderId="19" xfId="0" applyFill="1" applyBorder="1" applyAlignment="1" applyProtection="1">
      <alignment horizontal="left" vertical="top"/>
      <protection locked="0"/>
    </xf>
    <xf numFmtId="0" fontId="13" fillId="0" borderId="36" xfId="0" applyFont="1" applyBorder="1" applyAlignment="1" applyProtection="1">
      <alignment horizontal="left" vertical="center" wrapText="1"/>
      <protection hidden="1"/>
    </xf>
    <xf numFmtId="0" fontId="14" fillId="0" borderId="8" xfId="0" applyFont="1" applyBorder="1" applyAlignment="1" applyProtection="1">
      <alignment horizontal="left" vertical="center" wrapText="1"/>
      <protection hidden="1"/>
    </xf>
    <xf numFmtId="0" fontId="14" fillId="0" borderId="17" xfId="0" applyFont="1" applyBorder="1" applyAlignment="1" applyProtection="1">
      <alignment horizontal="left" vertical="center" wrapText="1"/>
      <protection hidden="1"/>
    </xf>
    <xf numFmtId="0" fontId="14" fillId="0" borderId="18" xfId="0" applyFont="1" applyBorder="1" applyAlignment="1" applyProtection="1">
      <alignment horizontal="left" vertical="center" wrapText="1"/>
      <protection hidden="1"/>
    </xf>
    <xf numFmtId="0" fontId="42" fillId="0" borderId="0" xfId="0" quotePrefix="1" applyFont="1" applyAlignment="1" applyProtection="1">
      <alignment horizontal="left" vertical="center" wrapText="1"/>
      <protection hidden="1"/>
    </xf>
    <xf numFmtId="0" fontId="1" fillId="0" borderId="0" xfId="0" applyFont="1" applyAlignment="1" applyProtection="1">
      <alignment vertical="center"/>
      <protection hidden="1"/>
    </xf>
    <xf numFmtId="0" fontId="28" fillId="0" borderId="0" xfId="0" applyFont="1" applyAlignment="1" applyProtection="1">
      <alignment horizontal="left" vertical="center"/>
      <protection hidden="1"/>
    </xf>
    <xf numFmtId="0" fontId="0" fillId="0" borderId="55"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14" fillId="0" borderId="56" xfId="0" applyFont="1" applyBorder="1" applyAlignment="1" applyProtection="1">
      <alignment horizontal="left" vertical="center" wrapText="1"/>
      <protection hidden="1"/>
    </xf>
    <xf numFmtId="0" fontId="14" fillId="0" borderId="57" xfId="0" applyFont="1" applyBorder="1" applyAlignment="1" applyProtection="1">
      <alignment horizontal="left" vertical="center" wrapText="1"/>
      <protection hidden="1"/>
    </xf>
    <xf numFmtId="0" fontId="0" fillId="0" borderId="0" xfId="0" applyAlignment="1" applyProtection="1">
      <alignment horizontal="left" vertical="top"/>
      <protection hidden="1"/>
    </xf>
    <xf numFmtId="0" fontId="0" fillId="0" borderId="23" xfId="0" applyBorder="1" applyAlignment="1" applyProtection="1">
      <alignment horizontal="left" vertical="top"/>
      <protection hidden="1"/>
    </xf>
    <xf numFmtId="0" fontId="14" fillId="0" borderId="13" xfId="0" applyFont="1" applyBorder="1" applyAlignment="1" applyProtection="1">
      <alignment horizontal="left" vertical="top" wrapText="1"/>
      <protection hidden="1"/>
    </xf>
    <xf numFmtId="0" fontId="0" fillId="0" borderId="13" xfId="0" applyBorder="1" applyAlignment="1" applyProtection="1">
      <alignment horizontal="left" vertical="top" wrapText="1"/>
      <protection hidden="1"/>
    </xf>
    <xf numFmtId="0" fontId="0" fillId="0" borderId="14" xfId="0" applyBorder="1" applyAlignment="1" applyProtection="1">
      <alignment horizontal="left" vertical="top" wrapText="1"/>
      <protection hidden="1"/>
    </xf>
    <xf numFmtId="0" fontId="0" fillId="0" borderId="9" xfId="0" quotePrefix="1" applyBorder="1" applyAlignment="1" applyProtection="1">
      <alignment horizontal="left" vertical="top" wrapText="1"/>
      <protection hidden="1"/>
    </xf>
    <xf numFmtId="0" fontId="0" fillId="0" borderId="10" xfId="0" quotePrefix="1" applyBorder="1" applyAlignment="1" applyProtection="1">
      <alignment horizontal="left" vertical="top" wrapText="1"/>
      <protection hidden="1"/>
    </xf>
    <xf numFmtId="0" fontId="0" fillId="0" borderId="11" xfId="0" quotePrefix="1" applyBorder="1" applyAlignment="1" applyProtection="1">
      <alignment horizontal="left" vertical="top" wrapText="1"/>
      <protection hidden="1"/>
    </xf>
    <xf numFmtId="0" fontId="0" fillId="0" borderId="12" xfId="0" quotePrefix="1" applyBorder="1" applyAlignment="1" applyProtection="1">
      <alignment horizontal="left" vertical="top" wrapText="1"/>
      <protection hidden="1"/>
    </xf>
    <xf numFmtId="0" fontId="0" fillId="0" borderId="13" xfId="0" quotePrefix="1" applyBorder="1" applyAlignment="1" applyProtection="1">
      <alignment horizontal="left" vertical="top" wrapText="1"/>
      <protection hidden="1"/>
    </xf>
    <xf numFmtId="0" fontId="0" fillId="0" borderId="14" xfId="0" quotePrefix="1" applyBorder="1" applyAlignment="1" applyProtection="1">
      <alignment horizontal="left" vertical="top" wrapText="1"/>
      <protection hidden="1"/>
    </xf>
    <xf numFmtId="0" fontId="0" fillId="0" borderId="22" xfId="0" quotePrefix="1" applyBorder="1" applyAlignment="1" applyProtection="1">
      <alignment horizontal="left" vertical="top" wrapText="1"/>
      <protection hidden="1"/>
    </xf>
    <xf numFmtId="0" fontId="0" fillId="0" borderId="0" xfId="0" quotePrefix="1" applyAlignment="1" applyProtection="1">
      <alignment horizontal="left" vertical="top" wrapText="1"/>
      <protection hidden="1"/>
    </xf>
    <xf numFmtId="0" fontId="0" fillId="0" borderId="23" xfId="0" quotePrefix="1" applyBorder="1" applyAlignment="1" applyProtection="1">
      <alignment horizontal="left" vertical="top" wrapText="1"/>
      <protection hidden="1"/>
    </xf>
    <xf numFmtId="0" fontId="2" fillId="9" borderId="8" xfId="0" applyFont="1" applyFill="1" applyBorder="1" applyAlignment="1" applyProtection="1">
      <alignment horizontal="left" vertical="center" wrapText="1"/>
      <protection hidden="1"/>
    </xf>
    <xf numFmtId="0" fontId="2" fillId="9" borderId="10" xfId="0" applyFont="1" applyFill="1" applyBorder="1" applyAlignment="1" applyProtection="1">
      <alignment horizontal="left" vertical="center" wrapText="1"/>
      <protection hidden="1"/>
    </xf>
    <xf numFmtId="0" fontId="2" fillId="9" borderId="11" xfId="0" applyFont="1" applyFill="1" applyBorder="1" applyAlignment="1" applyProtection="1">
      <alignment horizontal="left" vertical="center" wrapText="1"/>
      <protection hidden="1"/>
    </xf>
    <xf numFmtId="0" fontId="13" fillId="4" borderId="8" xfId="0" applyFont="1" applyFill="1" applyBorder="1" applyAlignment="1" applyProtection="1">
      <alignment horizontal="left" vertical="center" wrapText="1"/>
      <protection hidden="1"/>
    </xf>
    <xf numFmtId="0" fontId="13" fillId="4" borderId="10" xfId="0" applyFont="1" applyFill="1" applyBorder="1" applyAlignment="1" applyProtection="1">
      <alignment horizontal="left" vertical="center"/>
      <protection hidden="1"/>
    </xf>
    <xf numFmtId="0" fontId="13" fillId="4" borderId="11" xfId="0" applyFont="1" applyFill="1" applyBorder="1" applyAlignment="1" applyProtection="1">
      <alignment horizontal="left" vertical="center"/>
      <protection hidden="1"/>
    </xf>
    <xf numFmtId="0" fontId="2" fillId="8" borderId="24" xfId="0" applyFont="1" applyFill="1" applyBorder="1" applyAlignment="1" applyProtection="1">
      <alignment horizontal="left" vertical="center" wrapText="1"/>
      <protection hidden="1"/>
    </xf>
    <xf numFmtId="0" fontId="2" fillId="8" borderId="25" xfId="0" applyFont="1" applyFill="1" applyBorder="1" applyAlignment="1" applyProtection="1">
      <alignment horizontal="left" vertical="center" wrapText="1"/>
      <protection hidden="1"/>
    </xf>
    <xf numFmtId="0" fontId="28" fillId="0" borderId="25" xfId="0" applyFont="1" applyBorder="1" applyAlignment="1" applyProtection="1">
      <alignment horizontal="left" vertical="center" wrapText="1" indent="1"/>
      <protection hidden="1"/>
    </xf>
    <xf numFmtId="0" fontId="28" fillId="0" borderId="26" xfId="0" applyFont="1" applyBorder="1" applyAlignment="1" applyProtection="1">
      <alignment horizontal="left" vertical="center" wrapText="1" indent="1"/>
      <protection hidden="1"/>
    </xf>
    <xf numFmtId="0" fontId="31" fillId="0" borderId="0" xfId="0" applyFont="1" applyAlignment="1" applyProtection="1">
      <alignment horizontal="right"/>
      <protection hidden="1"/>
    </xf>
    <xf numFmtId="0" fontId="31" fillId="0" borderId="23" xfId="0" applyFont="1" applyBorder="1" applyAlignment="1" applyProtection="1">
      <alignment horizontal="right"/>
      <protection hidden="1"/>
    </xf>
    <xf numFmtId="0" fontId="2" fillId="8" borderId="30" xfId="0" applyFont="1" applyFill="1" applyBorder="1" applyAlignment="1" applyProtection="1">
      <alignment horizontal="left" vertical="center" wrapText="1"/>
      <protection hidden="1"/>
    </xf>
    <xf numFmtId="0" fontId="2" fillId="8" borderId="31" xfId="0" applyFont="1" applyFill="1" applyBorder="1" applyAlignment="1" applyProtection="1">
      <alignment horizontal="left" vertical="center" wrapText="1"/>
      <protection hidden="1"/>
    </xf>
    <xf numFmtId="0" fontId="2" fillId="8" borderId="33" xfId="0" applyFont="1" applyFill="1" applyBorder="1" applyAlignment="1" applyProtection="1">
      <alignment horizontal="left" vertical="center" wrapText="1"/>
      <protection hidden="1"/>
    </xf>
    <xf numFmtId="0" fontId="2" fillId="8" borderId="7" xfId="0" applyFont="1" applyFill="1" applyBorder="1" applyAlignment="1" applyProtection="1">
      <alignment horizontal="left" vertical="center" wrapText="1"/>
      <protection hidden="1"/>
    </xf>
    <xf numFmtId="0" fontId="2" fillId="8" borderId="27" xfId="0" applyFont="1" applyFill="1" applyBorder="1" applyAlignment="1" applyProtection="1">
      <alignment horizontal="left" vertical="center"/>
      <protection hidden="1"/>
    </xf>
    <xf numFmtId="0" fontId="2" fillId="8" borderId="28" xfId="0" applyFont="1" applyFill="1" applyBorder="1" applyAlignment="1" applyProtection="1">
      <alignment horizontal="left" vertical="center"/>
      <protection hidden="1"/>
    </xf>
    <xf numFmtId="0" fontId="28" fillId="8" borderId="28" xfId="0" applyFont="1" applyFill="1" applyBorder="1" applyAlignment="1" applyProtection="1">
      <alignment horizontal="left" vertical="center" wrapText="1" indent="1"/>
      <protection hidden="1"/>
    </xf>
    <xf numFmtId="0" fontId="28" fillId="8" borderId="29" xfId="0" applyFont="1" applyFill="1" applyBorder="1" applyAlignment="1" applyProtection="1">
      <alignment horizontal="left" vertical="center" wrapText="1" indent="1"/>
      <protection hidden="1"/>
    </xf>
    <xf numFmtId="0" fontId="28" fillId="0" borderId="31" xfId="0" applyFont="1" applyBorder="1" applyAlignment="1" applyProtection="1">
      <alignment horizontal="left" vertical="center" wrapText="1" indent="1"/>
      <protection hidden="1"/>
    </xf>
    <xf numFmtId="0" fontId="28" fillId="0" borderId="32" xfId="0" applyFont="1" applyBorder="1" applyAlignment="1" applyProtection="1">
      <alignment horizontal="left" vertical="center" wrapText="1" indent="1"/>
      <protection hidden="1"/>
    </xf>
    <xf numFmtId="0" fontId="28" fillId="0" borderId="7" xfId="0" applyFont="1" applyBorder="1" applyAlignment="1" applyProtection="1">
      <alignment horizontal="left" vertical="center" wrapText="1" indent="1"/>
      <protection hidden="1"/>
    </xf>
    <xf numFmtId="0" fontId="28" fillId="0" borderId="34" xfId="0" applyFont="1" applyBorder="1" applyAlignment="1" applyProtection="1">
      <alignment horizontal="left" vertical="center" wrapText="1" indent="1"/>
      <protection hidden="1"/>
    </xf>
    <xf numFmtId="0" fontId="12" fillId="0" borderId="0" xfId="0" applyFont="1" applyAlignment="1">
      <alignment horizontal="left" vertical="top" wrapText="1"/>
    </xf>
    <xf numFmtId="0" fontId="58" fillId="0" borderId="0" xfId="0" applyFont="1" applyAlignment="1">
      <alignment horizontal="left" vertical="top" wrapText="1"/>
    </xf>
    <xf numFmtId="0" fontId="15" fillId="0" borderId="0" xfId="1" applyAlignment="1">
      <alignment horizontal="left" vertical="top" wrapText="1"/>
    </xf>
    <xf numFmtId="0" fontId="11" fillId="0" borderId="0" xfId="0" applyFont="1" applyAlignment="1">
      <alignment horizontal="left" vertical="center" wrapText="1"/>
    </xf>
    <xf numFmtId="0" fontId="58" fillId="0" borderId="0" xfId="0" applyFont="1" applyAlignment="1">
      <alignment horizontal="left" vertical="center" wrapText="1"/>
    </xf>
    <xf numFmtId="0" fontId="72" fillId="0" borderId="0" xfId="0" quotePrefix="1" applyFont="1" applyAlignment="1" applyProtection="1">
      <alignment horizontal="left" vertical="top" wrapText="1"/>
      <protection hidden="1"/>
    </xf>
    <xf numFmtId="0" fontId="45" fillId="0" borderId="3" xfId="0" applyFont="1" applyBorder="1" applyAlignment="1" applyProtection="1">
      <protection hidden="1"/>
    </xf>
    <xf numFmtId="0" fontId="45" fillId="0" borderId="6" xfId="0" applyFont="1" applyBorder="1" applyAlignment="1" applyProtection="1">
      <protection hidden="1"/>
    </xf>
    <xf numFmtId="0" fontId="45" fillId="0" borderId="0" xfId="0" applyFont="1" applyAlignment="1" applyProtection="1">
      <protection hidden="1"/>
    </xf>
    <xf numFmtId="0" fontId="45" fillId="0" borderId="37" xfId="0" applyFont="1" applyBorder="1" applyAlignment="1" applyProtection="1">
      <protection hidden="1"/>
    </xf>
    <xf numFmtId="0" fontId="1" fillId="0" borderId="0" xfId="0" applyFont="1" applyAlignment="1" applyProtection="1">
      <protection hidden="1"/>
    </xf>
    <xf numFmtId="0" fontId="1" fillId="0" borderId="37" xfId="0" applyFont="1" applyBorder="1" applyAlignment="1" applyProtection="1">
      <protection hidden="1"/>
    </xf>
    <xf numFmtId="0" fontId="43" fillId="0" borderId="0" xfId="0" applyFont="1" applyAlignment="1" applyProtection="1">
      <protection hidden="1"/>
    </xf>
  </cellXfs>
  <cellStyles count="2">
    <cellStyle name="Hyperlink" xfId="1" builtinId="8"/>
    <cellStyle name="Normal" xfId="0" builtinId="0"/>
  </cellStyles>
  <dxfs count="184">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ont>
        <b/>
        <i val="0"/>
      </font>
    </dxf>
    <dxf>
      <font>
        <color theme="0"/>
      </font>
    </dxf>
    <dxf>
      <font>
        <b/>
        <i val="0"/>
      </font>
    </dxf>
    <dxf>
      <font>
        <b/>
        <i val="0"/>
      </font>
    </dxf>
    <dxf>
      <font>
        <b/>
        <i val="0"/>
      </font>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bgColor rgb="FF00B050"/>
        </patternFill>
      </fill>
    </dxf>
    <dxf>
      <fill>
        <patternFill>
          <bgColor rgb="FFFFFF00"/>
        </patternFill>
      </fill>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ont>
        <color rgb="FFFF0000"/>
      </font>
    </dxf>
    <dxf>
      <font>
        <b/>
        <i val="0"/>
        <color rgb="FFFF0000"/>
      </font>
    </dxf>
    <dxf>
      <font>
        <color theme="0"/>
      </font>
    </dxf>
    <dxf>
      <fill>
        <patternFill>
          <bgColor rgb="FFFF0000"/>
        </patternFill>
      </fill>
    </dxf>
    <dxf>
      <fill>
        <patternFill>
          <bgColor rgb="FFFFFF00"/>
        </patternFill>
      </fill>
    </dxf>
    <dxf>
      <fill>
        <patternFill>
          <bgColor rgb="FF00B050"/>
        </patternFill>
      </fill>
    </dxf>
    <dxf>
      <fill>
        <patternFill>
          <bgColor rgb="FFFFFF00"/>
        </patternFill>
      </fill>
    </dxf>
    <dxf>
      <font>
        <color theme="0"/>
      </font>
      <fill>
        <patternFill patternType="none">
          <bgColor auto="1"/>
        </patternFill>
      </fill>
      <border>
        <left/>
        <right/>
        <top/>
        <bottom/>
        <vertical/>
        <horizontal/>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bgColor rgb="FFB7E1CD"/>
        </patternFill>
      </fill>
      <border>
        <left style="thin">
          <color auto="1"/>
        </left>
        <right style="thin">
          <color auto="1"/>
        </right>
        <top style="thin">
          <color auto="1"/>
        </top>
        <bottom style="thin">
          <color auto="1"/>
        </bottom>
        <vertical/>
        <horizontal/>
      </border>
    </dxf>
    <dxf>
      <fill>
        <patternFill>
          <bgColor rgb="FFB7E1CD"/>
        </patternFill>
      </fill>
      <border>
        <left style="thin">
          <color auto="1"/>
        </left>
        <right style="thin">
          <color auto="1"/>
        </right>
        <top style="thin">
          <color auto="1"/>
        </top>
        <bottom style="thin">
          <color auto="1"/>
        </bottom>
        <vertical/>
        <horizontal/>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s>
  <tableStyles count="0" defaultTableStyle="TableStyleMedium2" defaultPivotStyle="PivotStyleLight16"/>
  <colors>
    <mruColors>
      <color rgb="FF00CC00"/>
      <color rgb="FF0033CC"/>
      <color rgb="FFE1E1FF"/>
      <color rgb="FFD5D5FF"/>
      <color rgb="FFFCFAD0"/>
      <color rgb="FFCCCCFF"/>
      <color rgb="FF99FF99"/>
      <color rgb="FFFCF2CC"/>
      <color rgb="FFFCE8B2"/>
      <color rgb="FF1B05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foodfraudadvisors.com/licence-rules2/" TargetMode="External"/><Relationship Id="rId2" Type="http://schemas.openxmlformats.org/officeDocument/2006/relationships/hyperlink" Target="#Instructions!A1"/><Relationship Id="rId1" Type="http://schemas.openxmlformats.org/officeDocument/2006/relationships/image" Target="../media/image1.jpeg"/><Relationship Id="rId4" Type="http://schemas.openxmlformats.org/officeDocument/2006/relationships/hyperlink" Target="http://www.foodfraudadvisors.com/vulnerability-assessment-faq2/"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4.jpeg"/><Relationship Id="rId1" Type="http://schemas.openxmlformats.org/officeDocument/2006/relationships/hyperlink" Target="http://www.facebook.com/foodfraudadvice" TargetMode="External"/><Relationship Id="rId5" Type="http://schemas.openxmlformats.org/officeDocument/2006/relationships/hyperlink" Target="#'Occurrence worksheet'!A1"/><Relationship Id="rId4" Type="http://schemas.openxmlformats.org/officeDocument/2006/relationships/hyperlink" Target="#'Detection work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122280</xdr:colOff>
      <xdr:row>58</xdr:row>
      <xdr:rowOff>22860</xdr:rowOff>
    </xdr:to>
    <xdr:pic>
      <xdr:nvPicPr>
        <xdr:cNvPr id="30" name="Picture 29">
          <a:extLst>
            <a:ext uri="{FF2B5EF4-FFF2-40B4-BE49-F238E27FC236}">
              <a16:creationId xmlns:a16="http://schemas.microsoft.com/office/drawing/2014/main" id="{F975645B-CF8F-4EDD-A0BA-388FF6D8DCC9}"/>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19972380" cy="13540740"/>
        </a:xfrm>
        <a:prstGeom prst="rect">
          <a:avLst/>
        </a:prstGeom>
      </xdr:spPr>
    </xdr:pic>
    <xdr:clientData/>
  </xdr:twoCellAnchor>
  <xdr:twoCellAnchor>
    <xdr:from>
      <xdr:col>1</xdr:col>
      <xdr:colOff>0</xdr:colOff>
      <xdr:row>8</xdr:row>
      <xdr:rowOff>57150</xdr:rowOff>
    </xdr:from>
    <xdr:to>
      <xdr:col>15</xdr:col>
      <xdr:colOff>1117600</xdr:colOff>
      <xdr:row>23</xdr:row>
      <xdr:rowOff>38099</xdr:rowOff>
    </xdr:to>
    <xdr:sp macro="" textlink="">
      <xdr:nvSpPr>
        <xdr:cNvPr id="2" name="Shape 2">
          <a:extLst>
            <a:ext uri="{FF2B5EF4-FFF2-40B4-BE49-F238E27FC236}">
              <a16:creationId xmlns:a16="http://schemas.microsoft.com/office/drawing/2014/main" id="{00000000-0008-0000-0000-000002000000}"/>
            </a:ext>
          </a:extLst>
        </xdr:cNvPr>
        <xdr:cNvSpPr txBox="1"/>
      </xdr:nvSpPr>
      <xdr:spPr>
        <a:xfrm>
          <a:off x="487680" y="1863090"/>
          <a:ext cx="10970260" cy="4400549"/>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About:</a:t>
          </a: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This spreadsheet is a tool that is designed to help food businesses perform a vulnerability assessment for food fraud. </a:t>
          </a: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This spreadsheet is designed for businesses that manufacture food in accordance with the requirements of </a:t>
          </a:r>
          <a:r>
            <a:rPr lang="en-US" sz="1200" b="1" i="0" u="none" strike="noStrike" cap="none" baseline="0">
              <a:solidFill>
                <a:schemeClr val="dk1"/>
              </a:solidFill>
              <a:latin typeface="Calibri"/>
              <a:ea typeface="Calibri"/>
              <a:cs typeface="Calibri"/>
              <a:sym typeface="Calibri"/>
            </a:rPr>
            <a:t>BRC's (</a:t>
          </a:r>
          <a:r>
            <a:rPr lang="en-AU" sz="1100" b="1">
              <a:effectLst/>
              <a:latin typeface="+mn-lt"/>
              <a:ea typeface="+mn-ea"/>
              <a:cs typeface="+mn-cs"/>
            </a:rPr>
            <a:t>British Retail Consortium) GLOBAL STANDARD FOOD SAFETY</a:t>
          </a:r>
          <a:r>
            <a:rPr lang="en-US" sz="1200" b="0" i="0" u="none" strike="noStrike" cap="none" baseline="0">
              <a:solidFill>
                <a:schemeClr val="dk1"/>
              </a:solidFill>
              <a:latin typeface="Calibri"/>
              <a:ea typeface="Calibri"/>
              <a:cs typeface="Calibri"/>
              <a:sym typeface="Calibri"/>
            </a:rPr>
            <a:t>, which requires that businesses assess their ingredients and raw materials for </a:t>
          </a:r>
          <a:r>
            <a:rPr lang="en-US" sz="1200" b="0" i="0" u="none" strike="noStrike" cap="none" baseline="0">
              <a:solidFill>
                <a:schemeClr val="dk1"/>
              </a:solidFill>
              <a:latin typeface="+mn-lt"/>
              <a:ea typeface="Calibri"/>
              <a:cs typeface="Calibri"/>
              <a:sym typeface="Calibri"/>
            </a:rPr>
            <a:t>vulnerability </a:t>
          </a:r>
          <a:r>
            <a:rPr lang="en-US" sz="1200" b="0" i="0" baseline="0">
              <a:effectLst/>
              <a:latin typeface="+mn-lt"/>
              <a:ea typeface="+mn-ea"/>
              <a:cs typeface="+mn-cs"/>
            </a:rPr>
            <a:t>to economically motivated adulteration, substitution or dilution.</a:t>
          </a:r>
          <a:endParaRPr lang="en-US" sz="1200" b="0" i="0" u="none" strike="noStrike" cap="none" baseline="0">
            <a:solidFill>
              <a:schemeClr val="dk1"/>
            </a:solidFill>
            <a:latin typeface="+mn-lt"/>
            <a:ea typeface="Calibri"/>
            <a:cs typeface="Calibri"/>
            <a:sym typeface="Calibri"/>
          </a:endParaRP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A food fraud vulnerability assessment is similar to a conventional risk assessment, in that it considers the likelihood that food fraud will occur and the likelihood that food fraud will be detected if it does occur.  The likelihood of occurrence versus the likelihood of detection are plotted on a risk matrix to determine the overall risk.  </a:t>
          </a: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rtl="0"/>
          <a:r>
            <a:rPr lang="en-US" sz="1200" b="0" i="0" baseline="0">
              <a:effectLst/>
              <a:latin typeface="+mn-lt"/>
              <a:ea typeface="+mn-ea"/>
              <a:cs typeface="+mn-cs"/>
            </a:rPr>
            <a:t>The risk assessment methodology and matrix are based on the recommendations of the British Retail Consortium in their document </a:t>
          </a:r>
          <a:r>
            <a:rPr lang="en-US" sz="1200" b="0" i="1" baseline="0">
              <a:effectLst/>
              <a:latin typeface="+mn-lt"/>
              <a:ea typeface="+mn-ea"/>
              <a:cs typeface="+mn-cs"/>
            </a:rPr>
            <a:t>Understanding Vulnerability Assessment </a:t>
          </a:r>
          <a:r>
            <a:rPr lang="en-US" sz="1200" b="0" i="0" baseline="0">
              <a:effectLst/>
              <a:latin typeface="+mn-lt"/>
              <a:ea typeface="+mn-ea"/>
              <a:cs typeface="+mn-cs"/>
            </a:rPr>
            <a:t>(2015).  To learn more about the method, choose the worksheet (tab) 'About the Method' at the bottom of your screen. </a:t>
          </a:r>
          <a:endParaRPr lang="en-AU" sz="1400">
            <a:effectLst/>
          </a:endParaRP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does it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The spreadsheet prompts the user to answer a series of questions about a food ingredient or raw material or a group of materials.  Users can also add comments to support the assessment.  The spreadsheet takes the answers and comments and automatically populates a printable risk assessment document containing scope, vulnerability rating, risk matrix and a complete description of all characteristics that were considered during the vulnerability assessment.</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US" sz="1200" b="0" i="0" baseline="0">
            <a:effectLst/>
            <a:latin typeface="+mn-lt"/>
            <a:ea typeface="+mn-ea"/>
            <a:cs typeface="+mn-cs"/>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it does not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The tool is suitable for ingredients and raw materials, not for finished products.  It is designed to address vulnerabilities within a food business' supply  chain.  It does not address the threat of fraudulent activities occurring within the business performing the assessment, which means not within the business' own processes or facility(s).</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AU" sz="1200">
            <a:effectLst/>
            <a:latin typeface="+mn-lt"/>
          </a:endParaRPr>
        </a:p>
        <a:p>
          <a:pPr marL="0" marR="0" lvl="0" indent="0" algn="l" rtl="0">
            <a:spcBef>
              <a:spcPts val="0"/>
            </a:spcBef>
            <a:buClr>
              <a:schemeClr val="dk1"/>
            </a:buClr>
            <a:buSzPct val="25000"/>
            <a:buFont typeface="Calibri"/>
            <a:buNone/>
          </a:pPr>
          <a:r>
            <a:rPr lang="en-US" sz="1200" b="1" i="0" u="none" strike="noStrike" cap="none" baseline="0">
              <a:solidFill>
                <a:schemeClr val="dk1"/>
              </a:solidFill>
              <a:latin typeface="+mn-lt"/>
              <a:ea typeface="Calibri"/>
              <a:cs typeface="Calibri"/>
              <a:sym typeface="Calibri"/>
            </a:rPr>
            <a:t>It does not replace the judgement of an expert person, </a:t>
          </a:r>
          <a:r>
            <a:rPr lang="en-US" sz="1200" b="0" i="0" u="none" strike="noStrike" cap="none" baseline="0">
              <a:solidFill>
                <a:schemeClr val="dk1"/>
              </a:solidFill>
              <a:latin typeface="+mn-lt"/>
              <a:ea typeface="Calibri"/>
              <a:cs typeface="Calibri"/>
              <a:sym typeface="Calibri"/>
            </a:rPr>
            <a:t>who should review all results and make the final decisions regarding likelihood of occurrence and of detection of food fraud.  Calculated results can be over-ridden by the user.  </a:t>
          </a:r>
        </a:p>
      </xdr:txBody>
    </xdr:sp>
    <xdr:clientData/>
  </xdr:twoCellAnchor>
  <xdr:twoCellAnchor>
    <xdr:from>
      <xdr:col>1</xdr:col>
      <xdr:colOff>1587</xdr:colOff>
      <xdr:row>33</xdr:row>
      <xdr:rowOff>31433</xdr:rowOff>
    </xdr:from>
    <xdr:to>
      <xdr:col>15</xdr:col>
      <xdr:colOff>1134533</xdr:colOff>
      <xdr:row>41</xdr:row>
      <xdr:rowOff>31750</xdr:rowOff>
    </xdr:to>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5775" y="9477058"/>
          <a:ext cx="10999258" cy="1270317"/>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The fine print:</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While all care has been taken by the author, not all vulnerabilities will be identified by this spreadsheet.  A material group that is identified by the </a:t>
          </a:r>
          <a:r>
            <a:rPr lang="en-US" sz="1200" b="0" i="1" u="none" strike="noStrike" cap="none" baseline="0">
              <a:solidFill>
                <a:schemeClr val="dk1"/>
              </a:solidFill>
              <a:latin typeface="+mn-lt"/>
              <a:ea typeface="Calibri"/>
              <a:cs typeface="Calibri"/>
              <a:sym typeface="Calibri"/>
            </a:rPr>
            <a:t>Vulnerability Assessment Tool</a:t>
          </a:r>
          <a:r>
            <a:rPr lang="en-US" sz="1200" b="0" i="0" u="none" strike="noStrike" cap="none" baseline="0">
              <a:solidFill>
                <a:schemeClr val="dk1"/>
              </a:solidFill>
              <a:latin typeface="+mn-lt"/>
              <a:ea typeface="Calibri"/>
              <a:cs typeface="Calibri"/>
              <a:sym typeface="Calibri"/>
            </a:rPr>
            <a:t> as being low risk may nevertheless be </a:t>
          </a:r>
          <a:r>
            <a:rPr lang="en-US" sz="1200" b="0" i="0" u="none" strike="noStrike" cap="none" baseline="0">
              <a:solidFill>
                <a:sysClr val="windowText" lastClr="000000"/>
              </a:solidFill>
              <a:latin typeface="+mn-lt"/>
              <a:ea typeface="Calibri"/>
              <a:cs typeface="Calibri"/>
              <a:sym typeface="Calibri"/>
            </a:rPr>
            <a:t>affected by food fraud as well </a:t>
          </a:r>
          <a:r>
            <a:rPr lang="en-US" sz="1200" b="0" i="0" u="none" strike="noStrike" cap="none" baseline="0">
              <a:solidFill>
                <a:schemeClr val="dk1"/>
              </a:solidFill>
              <a:latin typeface="+mn-lt"/>
              <a:ea typeface="Calibri"/>
              <a:cs typeface="Calibri"/>
              <a:sym typeface="Calibri"/>
            </a:rPr>
            <a:t>as other threats to food safety and integrity.</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  </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The author and publisher give no assurance whatsoever that the content and/or documents generated with this tool will meet the requirements of any management system standard, regulatory standard, code of practice, auditing system or any auditor.</a:t>
          </a:r>
          <a:endParaRPr lang="en-AU" sz="1200">
            <a:effectLst/>
          </a:endParaRPr>
        </a:p>
        <a:p>
          <a:pPr marL="0" marR="0" lvl="0" indent="0" algn="l" rtl="0">
            <a:spcBef>
              <a:spcPts val="0"/>
            </a:spcBef>
            <a:buFont typeface="Arial"/>
            <a:buNone/>
          </a:pPr>
          <a:endParaRPr sz="1200" b="0" i="0" u="none" strike="noStrike" cap="none" baseline="0">
            <a:latin typeface="+mn-lt"/>
          </a:endParaRPr>
        </a:p>
      </xdr:txBody>
    </xdr:sp>
    <xdr:clientData/>
  </xdr:twoCellAnchor>
  <xdr:twoCellAnchor>
    <xdr:from>
      <xdr:col>1</xdr:col>
      <xdr:colOff>9524</xdr:colOff>
      <xdr:row>44</xdr:row>
      <xdr:rowOff>49532</xdr:rowOff>
    </xdr:from>
    <xdr:to>
      <xdr:col>15</xdr:col>
      <xdr:colOff>1168400</xdr:colOff>
      <xdr:row>50</xdr:row>
      <xdr:rowOff>65691</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95627" y="11045980"/>
          <a:ext cx="10959773" cy="962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200" b="1" i="0" baseline="0">
              <a:solidFill>
                <a:srgbClr val="00B050"/>
              </a:solidFill>
              <a:effectLst/>
              <a:latin typeface="+mn-lt"/>
              <a:ea typeface="+mn-ea"/>
              <a:cs typeface="+mn-cs"/>
            </a:rPr>
            <a:t>Licence agreement:</a:t>
          </a:r>
          <a:endParaRPr lang="en-AU" sz="1200" b="1">
            <a:solidFill>
              <a:srgbClr val="00B050"/>
            </a:solidFill>
            <a:effectLst/>
          </a:endParaRPr>
        </a:p>
        <a:p>
          <a:pPr rtl="0"/>
          <a:r>
            <a:rPr lang="en-US" sz="1200" b="0" i="0" baseline="0">
              <a:solidFill>
                <a:schemeClr val="dk1"/>
              </a:solidFill>
              <a:effectLst/>
              <a:latin typeface="+mn-lt"/>
              <a:ea typeface="+mn-ea"/>
              <a:cs typeface="+mn-cs"/>
            </a:rPr>
            <a:t>You may make as many copies of this spreadsheet as you need for ONE food business in one manufacturing location.  If you work for more than one food business, for example as a consultant, please purchase a separate licence for each food business.  If you are using this for research or educational purposes please  acknowledge the authors Food Fraud Advisors 2018. </a:t>
          </a:r>
          <a:endParaRPr lang="en-AU" sz="1200">
            <a:effectLst/>
          </a:endParaRPr>
        </a:p>
        <a:p>
          <a:endParaRPr lang="en-AU" sz="1100"/>
        </a:p>
      </xdr:txBody>
    </xdr:sp>
    <xdr:clientData/>
  </xdr:twoCellAnchor>
  <xdr:twoCellAnchor>
    <xdr:from>
      <xdr:col>10</xdr:col>
      <xdr:colOff>243205</xdr:colOff>
      <xdr:row>6</xdr:row>
      <xdr:rowOff>59055</xdr:rowOff>
    </xdr:from>
    <xdr:to>
      <xdr:col>15</xdr:col>
      <xdr:colOff>1079500</xdr:colOff>
      <xdr:row>8</xdr:row>
      <xdr:rowOff>20053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831205" y="1543368"/>
          <a:ext cx="5598795" cy="278498"/>
        </a:xfrm>
        <a:prstGeom prst="rect">
          <a:avLst/>
        </a:prstGeom>
        <a:solidFill>
          <a:srgbClr val="FCFAD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accent6">
                  <a:lumMod val="50000"/>
                </a:schemeClr>
              </a:solidFill>
              <a:latin typeface="Segoe Script" panose="020B0504020000000003" pitchFamily="34" charset="0"/>
            </a:rPr>
            <a:t>Links not working? Click</a:t>
          </a:r>
          <a:r>
            <a:rPr lang="en-AU" sz="1100" b="1" baseline="0">
              <a:solidFill>
                <a:schemeClr val="accent6">
                  <a:lumMod val="50000"/>
                </a:schemeClr>
              </a:solidFill>
              <a:latin typeface="Segoe Script" panose="020B0504020000000003" pitchFamily="34" charset="0"/>
            </a:rPr>
            <a:t> 'Enable Content' at the top of your screen</a:t>
          </a:r>
          <a:endParaRPr lang="en-AU" sz="1100" b="1">
            <a:solidFill>
              <a:schemeClr val="accent6">
                <a:lumMod val="50000"/>
              </a:schemeClr>
            </a:solidFill>
            <a:latin typeface="Segoe Script" panose="020B0504020000000003" pitchFamily="34" charset="0"/>
          </a:endParaRPr>
        </a:p>
      </xdr:txBody>
    </xdr:sp>
    <xdr:clientData/>
  </xdr:twoCellAnchor>
  <xdr:twoCellAnchor>
    <xdr:from>
      <xdr:col>1</xdr:col>
      <xdr:colOff>8021</xdr:colOff>
      <xdr:row>0</xdr:row>
      <xdr:rowOff>152401</xdr:rowOff>
    </xdr:from>
    <xdr:to>
      <xdr:col>15</xdr:col>
      <xdr:colOff>1095375</xdr:colOff>
      <xdr:row>3</xdr:row>
      <xdr:rowOff>40105</xdr:rowOff>
    </xdr:to>
    <xdr:sp macro="" textlink="">
      <xdr:nvSpPr>
        <xdr:cNvPr id="9" name="Shape 2">
          <a:extLst>
            <a:ext uri="{FF2B5EF4-FFF2-40B4-BE49-F238E27FC236}">
              <a16:creationId xmlns:a16="http://schemas.microsoft.com/office/drawing/2014/main" id="{1572DCC3-E3EB-4DB9-AC09-FCADADC78368}"/>
            </a:ext>
          </a:extLst>
        </xdr:cNvPr>
        <xdr:cNvSpPr txBox="1"/>
      </xdr:nvSpPr>
      <xdr:spPr>
        <a:xfrm>
          <a:off x="492209" y="152401"/>
          <a:ext cx="10953666" cy="895767"/>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2800" b="1" i="0" u="none" strike="noStrike" cap="none" baseline="0">
              <a:solidFill>
                <a:srgbClr val="00B050"/>
              </a:solidFill>
              <a:latin typeface="+mn-lt"/>
              <a:ea typeface="Calibri"/>
              <a:cs typeface="Calibri"/>
              <a:sym typeface="Calibri"/>
            </a:rPr>
            <a:t>Vulnerability Assessment Tool </a:t>
          </a:r>
          <a:r>
            <a:rPr lang="en-US" sz="1600" b="1" i="0" u="none" strike="noStrike" cap="none" baseline="0">
              <a:solidFill>
                <a:srgbClr val="00B050"/>
              </a:solidFill>
              <a:latin typeface="+mn-lt"/>
              <a:ea typeface="Calibri"/>
              <a:cs typeface="Calibri"/>
              <a:sym typeface="Calibri"/>
            </a:rPr>
            <a:t>(BRC Method)</a:t>
          </a: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   Food Fraud Advisors 2018</a:t>
          </a:r>
        </a:p>
      </xdr:txBody>
    </xdr:sp>
    <xdr:clientData/>
  </xdr:twoCellAnchor>
  <xdr:twoCellAnchor>
    <xdr:from>
      <xdr:col>11</xdr:col>
      <xdr:colOff>254978</xdr:colOff>
      <xdr:row>3</xdr:row>
      <xdr:rowOff>89115</xdr:rowOff>
    </xdr:from>
    <xdr:to>
      <xdr:col>15</xdr:col>
      <xdr:colOff>1034732</xdr:colOff>
      <xdr:row>6</xdr:row>
      <xdr:rowOff>93710</xdr:rowOff>
    </xdr:to>
    <xdr:grpSp>
      <xdr:nvGrpSpPr>
        <xdr:cNvPr id="29" name="Group 28">
          <a:extLst>
            <a:ext uri="{FF2B5EF4-FFF2-40B4-BE49-F238E27FC236}">
              <a16:creationId xmlns:a16="http://schemas.microsoft.com/office/drawing/2014/main" id="{79E60DCB-D163-4035-9237-8E431E65CB56}"/>
            </a:ext>
          </a:extLst>
        </xdr:cNvPr>
        <xdr:cNvGrpSpPr/>
      </xdr:nvGrpSpPr>
      <xdr:grpSpPr>
        <a:xfrm>
          <a:off x="6293828" y="1089240"/>
          <a:ext cx="4818354" cy="490370"/>
          <a:chOff x="6403530" y="1100736"/>
          <a:chExt cx="4918202" cy="477560"/>
        </a:xfrm>
      </xdr:grpSpPr>
      <xdr:sp macro="" textlink="">
        <xdr:nvSpPr>
          <xdr:cNvPr id="11" name="Rectangle: Rounded Corners 10">
            <a:extLst>
              <a:ext uri="{FF2B5EF4-FFF2-40B4-BE49-F238E27FC236}">
                <a16:creationId xmlns:a16="http://schemas.microsoft.com/office/drawing/2014/main" id="{FDB010F5-9BBF-452B-BE22-9D7024E8A639}"/>
              </a:ext>
            </a:extLst>
          </xdr:cNvPr>
          <xdr:cNvSpPr/>
        </xdr:nvSpPr>
        <xdr:spPr>
          <a:xfrm>
            <a:off x="6403530" y="1100736"/>
            <a:ext cx="4918202" cy="382964"/>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14" name="TextBox 13">
            <a:hlinkClick xmlns:r="http://schemas.openxmlformats.org/officeDocument/2006/relationships" r:id="rId2"/>
            <a:extLst>
              <a:ext uri="{FF2B5EF4-FFF2-40B4-BE49-F238E27FC236}">
                <a16:creationId xmlns:a16="http://schemas.microsoft.com/office/drawing/2014/main" id="{8DC9018A-EA9A-462E-AC93-1802D8D3A2D7}"/>
              </a:ext>
            </a:extLst>
          </xdr:cNvPr>
          <xdr:cNvSpPr txBox="1"/>
        </xdr:nvSpPr>
        <xdr:spPr>
          <a:xfrm>
            <a:off x="6441944" y="1156215"/>
            <a:ext cx="4318022" cy="422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u="sng">
                <a:solidFill>
                  <a:schemeClr val="dk1"/>
                </a:solidFill>
                <a:effectLst/>
                <a:latin typeface="+mn-lt"/>
                <a:ea typeface="+mn-ea"/>
                <a:cs typeface="+mn-cs"/>
              </a:rPr>
              <a:t>Click here for step-by-step</a:t>
            </a:r>
            <a:r>
              <a:rPr lang="en-AU" sz="1100" u="sng" baseline="0">
                <a:solidFill>
                  <a:schemeClr val="dk1"/>
                </a:solidFill>
                <a:effectLst/>
                <a:latin typeface="+mn-lt"/>
                <a:ea typeface="+mn-ea"/>
                <a:cs typeface="+mn-cs"/>
              </a:rPr>
              <a:t> instructions and estimated time to complete</a:t>
            </a:r>
            <a:endParaRPr lang="en-AU" sz="1200">
              <a:effectLst/>
            </a:endParaRPr>
          </a:p>
          <a:p>
            <a:endParaRPr lang="en-AU" sz="1200">
              <a:solidFill>
                <a:schemeClr val="bg1"/>
              </a:solidFill>
            </a:endParaRPr>
          </a:p>
        </xdr:txBody>
      </xdr:sp>
    </xdr:grpSp>
    <xdr:clientData/>
  </xdr:twoCellAnchor>
  <xdr:twoCellAnchor>
    <xdr:from>
      <xdr:col>1</xdr:col>
      <xdr:colOff>17317</xdr:colOff>
      <xdr:row>51</xdr:row>
      <xdr:rowOff>68920</xdr:rowOff>
    </xdr:from>
    <xdr:to>
      <xdr:col>7</xdr:col>
      <xdr:colOff>389933</xdr:colOff>
      <xdr:row>53</xdr:row>
      <xdr:rowOff>54470</xdr:rowOff>
    </xdr:to>
    <xdr:grpSp>
      <xdr:nvGrpSpPr>
        <xdr:cNvPr id="25" name="Group 24">
          <a:extLst>
            <a:ext uri="{FF2B5EF4-FFF2-40B4-BE49-F238E27FC236}">
              <a16:creationId xmlns:a16="http://schemas.microsoft.com/office/drawing/2014/main" id="{FBD49FEE-2E5E-4FB5-8B72-4533586D35BF}"/>
            </a:ext>
          </a:extLst>
        </xdr:cNvPr>
        <xdr:cNvGrpSpPr/>
      </xdr:nvGrpSpPr>
      <xdr:grpSpPr>
        <a:xfrm>
          <a:off x="493567" y="12327595"/>
          <a:ext cx="3611116" cy="385600"/>
          <a:chOff x="477144" y="12313471"/>
          <a:chExt cx="3670237" cy="392826"/>
        </a:xfrm>
      </xdr:grpSpPr>
      <xdr:sp macro="" textlink="">
        <xdr:nvSpPr>
          <xdr:cNvPr id="16" name="Rectangle: Rounded Corners 15">
            <a:extLst>
              <a:ext uri="{FF2B5EF4-FFF2-40B4-BE49-F238E27FC236}">
                <a16:creationId xmlns:a16="http://schemas.microsoft.com/office/drawing/2014/main" id="{01F672E9-5F65-44DF-AE02-D020103F8F08}"/>
              </a:ext>
            </a:extLst>
          </xdr:cNvPr>
          <xdr:cNvSpPr/>
        </xdr:nvSpPr>
        <xdr:spPr>
          <a:xfrm>
            <a:off x="477144" y="12313471"/>
            <a:ext cx="3670237" cy="392826"/>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19" name="TextBox 18">
            <a:hlinkClick xmlns:r="http://schemas.openxmlformats.org/officeDocument/2006/relationships" r:id="rId3"/>
            <a:extLst>
              <a:ext uri="{FF2B5EF4-FFF2-40B4-BE49-F238E27FC236}">
                <a16:creationId xmlns:a16="http://schemas.microsoft.com/office/drawing/2014/main" id="{017BEE78-374E-4D0F-8BE5-A1764604E3F3}"/>
              </a:ext>
            </a:extLst>
          </xdr:cNvPr>
          <xdr:cNvSpPr txBox="1"/>
        </xdr:nvSpPr>
        <xdr:spPr>
          <a:xfrm>
            <a:off x="522943" y="12360651"/>
            <a:ext cx="3482549" cy="304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rgbClr val="0070C0"/>
                </a:solidFill>
              </a:rPr>
              <a:t>Click here for the full licence terms and conditions</a:t>
            </a:r>
          </a:p>
        </xdr:txBody>
      </xdr:sp>
    </xdr:grpSp>
    <xdr:clientData/>
  </xdr:twoCellAnchor>
  <xdr:twoCellAnchor>
    <xdr:from>
      <xdr:col>1</xdr:col>
      <xdr:colOff>25564</xdr:colOff>
      <xdr:row>42</xdr:row>
      <xdr:rowOff>26711</xdr:rowOff>
    </xdr:from>
    <xdr:to>
      <xdr:col>12</xdr:col>
      <xdr:colOff>758231</xdr:colOff>
      <xdr:row>43</xdr:row>
      <xdr:rowOff>95701</xdr:rowOff>
    </xdr:to>
    <xdr:sp macro="" textlink="">
      <xdr:nvSpPr>
        <xdr:cNvPr id="20" name="TextBox 19">
          <a:extLst>
            <a:ext uri="{FF2B5EF4-FFF2-40B4-BE49-F238E27FC236}">
              <a16:creationId xmlns:a16="http://schemas.microsoft.com/office/drawing/2014/main" id="{7F53E4A2-A632-48E6-8F8F-15971DF3EFA9}"/>
            </a:ext>
          </a:extLst>
        </xdr:cNvPr>
        <xdr:cNvSpPr txBox="1"/>
      </xdr:nvSpPr>
      <xdr:spPr>
        <a:xfrm>
          <a:off x="513244" y="10278151"/>
          <a:ext cx="7072507" cy="312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a:solidFill>
                <a:schemeClr val="dk1"/>
              </a:solidFill>
              <a:effectLst/>
              <a:latin typeface="+mn-lt"/>
              <a:ea typeface="+mn-ea"/>
              <a:cs typeface="+mn-cs"/>
            </a:rPr>
            <a:t>Suggested citation:  </a:t>
          </a:r>
          <a:r>
            <a:rPr lang="en-AU" sz="1100" b="1" i="0" u="none" strike="noStrike">
              <a:solidFill>
                <a:schemeClr val="dk1"/>
              </a:solidFill>
              <a:effectLst/>
              <a:latin typeface="+mn-lt"/>
              <a:ea typeface="+mn-ea"/>
              <a:cs typeface="+mn-cs"/>
            </a:rPr>
            <a:t>Food Fraud Advisors 2018, </a:t>
          </a:r>
          <a:r>
            <a:rPr lang="en-AU" sz="1100" b="1" i="1" u="none" strike="noStrike">
              <a:solidFill>
                <a:schemeClr val="dk1"/>
              </a:solidFill>
              <a:effectLst/>
              <a:latin typeface="+mn-lt"/>
              <a:ea typeface="+mn-ea"/>
              <a:cs typeface="+mn-cs"/>
            </a:rPr>
            <a:t>Vulnerability Assessment Tool (BRC Method)</a:t>
          </a:r>
          <a:r>
            <a:rPr lang="en-AU" i="1"/>
            <a:t> </a:t>
          </a:r>
          <a:endParaRPr lang="en-AU" sz="1100" i="1"/>
        </a:p>
      </xdr:txBody>
    </xdr:sp>
    <xdr:clientData/>
  </xdr:twoCellAnchor>
  <xdr:twoCellAnchor>
    <xdr:from>
      <xdr:col>1</xdr:col>
      <xdr:colOff>18437</xdr:colOff>
      <xdr:row>53</xdr:row>
      <xdr:rowOff>147141</xdr:rowOff>
    </xdr:from>
    <xdr:to>
      <xdr:col>6</xdr:col>
      <xdr:colOff>118241</xdr:colOff>
      <xdr:row>56</xdr:row>
      <xdr:rowOff>9723</xdr:rowOff>
    </xdr:to>
    <xdr:grpSp>
      <xdr:nvGrpSpPr>
        <xdr:cNvPr id="26" name="Group 25">
          <a:extLst>
            <a:ext uri="{FF2B5EF4-FFF2-40B4-BE49-F238E27FC236}">
              <a16:creationId xmlns:a16="http://schemas.microsoft.com/office/drawing/2014/main" id="{9107AE0E-9E62-4F94-9B1E-AE7F651CE7B6}"/>
            </a:ext>
          </a:extLst>
        </xdr:cNvPr>
        <xdr:cNvGrpSpPr/>
      </xdr:nvGrpSpPr>
      <xdr:grpSpPr>
        <a:xfrm>
          <a:off x="494687" y="12805866"/>
          <a:ext cx="2757279" cy="472182"/>
          <a:chOff x="530816" y="12772692"/>
          <a:chExt cx="2676957" cy="466927"/>
        </a:xfrm>
      </xdr:grpSpPr>
      <xdr:sp macro="" textlink="">
        <xdr:nvSpPr>
          <xdr:cNvPr id="17" name="Rectangle: Rounded Corners 16">
            <a:extLst>
              <a:ext uri="{FF2B5EF4-FFF2-40B4-BE49-F238E27FC236}">
                <a16:creationId xmlns:a16="http://schemas.microsoft.com/office/drawing/2014/main" id="{A51A1008-DD7B-4D7A-9423-C9A59DADDF76}"/>
              </a:ext>
            </a:extLst>
          </xdr:cNvPr>
          <xdr:cNvSpPr/>
        </xdr:nvSpPr>
        <xdr:spPr>
          <a:xfrm>
            <a:off x="530816" y="12812335"/>
            <a:ext cx="2676957" cy="389292"/>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21" name="TextBox 20">
            <a:hlinkClick xmlns:r="http://schemas.openxmlformats.org/officeDocument/2006/relationships" r:id="rId4"/>
            <a:extLst>
              <a:ext uri="{FF2B5EF4-FFF2-40B4-BE49-F238E27FC236}">
                <a16:creationId xmlns:a16="http://schemas.microsoft.com/office/drawing/2014/main" id="{7E9A52C8-F2E7-470D-A191-58C16391697E}"/>
              </a:ext>
            </a:extLst>
          </xdr:cNvPr>
          <xdr:cNvSpPr txBox="1"/>
        </xdr:nvSpPr>
        <xdr:spPr>
          <a:xfrm>
            <a:off x="594425" y="12772692"/>
            <a:ext cx="2430494" cy="46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rgbClr val="0070C0"/>
                </a:solidFill>
              </a:rPr>
              <a:t>Click here for</a:t>
            </a:r>
            <a:r>
              <a:rPr lang="en-AU" sz="1200" u="sng" baseline="0">
                <a:solidFill>
                  <a:srgbClr val="0070C0"/>
                </a:solidFill>
              </a:rPr>
              <a:t> frequently asked </a:t>
            </a:r>
            <a:r>
              <a:rPr lang="en-AU" sz="1100" u="sng" baseline="0">
                <a:solidFill>
                  <a:srgbClr val="0070C0"/>
                </a:solidFill>
              </a:rPr>
              <a:t>questions (and their answers)</a:t>
            </a:r>
            <a:endParaRPr lang="en-AU" sz="1100" u="sng">
              <a:solidFill>
                <a:srgbClr val="0070C0"/>
              </a:solidFill>
            </a:endParaRPr>
          </a:p>
        </xdr:txBody>
      </xdr:sp>
    </xdr:grpSp>
    <xdr:clientData/>
  </xdr:twoCellAnchor>
  <xdr:twoCellAnchor>
    <xdr:from>
      <xdr:col>1</xdr:col>
      <xdr:colOff>9525</xdr:colOff>
      <xdr:row>23</xdr:row>
      <xdr:rowOff>112059</xdr:rowOff>
    </xdr:from>
    <xdr:to>
      <xdr:col>15</xdr:col>
      <xdr:colOff>1151466</xdr:colOff>
      <xdr:row>31</xdr:row>
      <xdr:rowOff>239059</xdr:rowOff>
    </xdr:to>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5113" y="6297706"/>
          <a:ext cx="11025529" cy="2211294"/>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How to use the Vulnerability Assessment Tool:</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Create a new excel file for each material or group of materials.  A material group is a family of food ingredients or raw materials that are of similar composition and have similar supply chain characteristics.  If you are unsure of which materials to include within a group, just start with your best guess; when using the tool it will soon be clear whether you can include more materials within a group and it is simple to expand the scope after you have started if you wish to do so.</a:t>
          </a: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Collect information about the material group and use it to answer questions in the worksheets.  You do not need all the information on hand to start, you can add or change the information at any time.  Start with your best guess and update your answers as you learn more.</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When you have answered all the questions, view and print the results.  </a:t>
          </a:r>
          <a:r>
            <a:rPr lang="en-US" sz="1200" b="0" i="0" baseline="0">
              <a:effectLst/>
              <a:latin typeface="+mn-lt"/>
              <a:ea typeface="+mn-ea"/>
              <a:cs typeface="+mn-cs"/>
            </a:rPr>
            <a:t>Section 1 of the results defines the purpose and scope, author, date and review date.  Section 2 of the results contains the vulnerability rating, risk matrix and information about what was considered in the assessment.  You can print to paper, print to pdf or copy and paste the results into a larger document. </a:t>
          </a:r>
          <a:endParaRPr lang="en-US"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p>
        <a:p>
          <a:pPr marL="0" marR="0" lvl="0" indent="0" algn="l" rtl="0">
            <a:spcBef>
              <a:spcPts val="0"/>
            </a:spcBef>
            <a:buFont typeface="Arial"/>
            <a:buNone/>
          </a:pPr>
          <a:endParaRPr sz="1100" b="0" i="0" u="none" strike="noStrike" cap="none" baseline="0"/>
        </a:p>
      </xdr:txBody>
    </xdr:sp>
    <xdr:clientData/>
  </xdr:twoCellAnchor>
  <xdr:twoCellAnchor>
    <xdr:from>
      <xdr:col>1</xdr:col>
      <xdr:colOff>978</xdr:colOff>
      <xdr:row>31</xdr:row>
      <xdr:rowOff>406615</xdr:rowOff>
    </xdr:from>
    <xdr:to>
      <xdr:col>9</xdr:col>
      <xdr:colOff>439419</xdr:colOff>
      <xdr:row>33</xdr:row>
      <xdr:rowOff>61960</xdr:rowOff>
    </xdr:to>
    <xdr:grpSp>
      <xdr:nvGrpSpPr>
        <xdr:cNvPr id="28" name="Group 27">
          <a:extLst>
            <a:ext uri="{FF2B5EF4-FFF2-40B4-BE49-F238E27FC236}">
              <a16:creationId xmlns:a16="http://schemas.microsoft.com/office/drawing/2014/main" id="{B9EB52FC-7E9D-4086-89CD-C2D9839EB3A4}"/>
            </a:ext>
          </a:extLst>
        </xdr:cNvPr>
        <xdr:cNvGrpSpPr/>
      </xdr:nvGrpSpPr>
      <xdr:grpSpPr>
        <a:xfrm>
          <a:off x="477228" y="8769565"/>
          <a:ext cx="4838991" cy="493545"/>
          <a:chOff x="487081" y="8683512"/>
          <a:chExt cx="4918476" cy="496172"/>
        </a:xfrm>
      </xdr:grpSpPr>
      <xdr:sp macro="" textlink="">
        <xdr:nvSpPr>
          <xdr:cNvPr id="23" name="Rectangle: Rounded Corners 22">
            <a:extLst>
              <a:ext uri="{FF2B5EF4-FFF2-40B4-BE49-F238E27FC236}">
                <a16:creationId xmlns:a16="http://schemas.microsoft.com/office/drawing/2014/main" id="{663C6CD9-1A46-4BF7-BACC-6B3F0C958F39}"/>
              </a:ext>
            </a:extLst>
          </xdr:cNvPr>
          <xdr:cNvSpPr/>
        </xdr:nvSpPr>
        <xdr:spPr>
          <a:xfrm>
            <a:off x="487081" y="8683512"/>
            <a:ext cx="4918476" cy="391723"/>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24" name="TextBox 23">
            <a:hlinkClick xmlns:r="http://schemas.openxmlformats.org/officeDocument/2006/relationships" r:id="rId2"/>
            <a:extLst>
              <a:ext uri="{FF2B5EF4-FFF2-40B4-BE49-F238E27FC236}">
                <a16:creationId xmlns:a16="http://schemas.microsoft.com/office/drawing/2014/main" id="{6165A331-9951-43F5-994A-B91482B821E0}"/>
              </a:ext>
            </a:extLst>
          </xdr:cNvPr>
          <xdr:cNvSpPr txBox="1"/>
        </xdr:nvSpPr>
        <xdr:spPr>
          <a:xfrm>
            <a:off x="525495" y="8754866"/>
            <a:ext cx="4256712" cy="424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u="sng">
                <a:solidFill>
                  <a:schemeClr val="dk1"/>
                </a:solidFill>
                <a:effectLst/>
                <a:latin typeface="+mn-lt"/>
                <a:ea typeface="+mn-ea"/>
                <a:cs typeface="+mn-cs"/>
              </a:rPr>
              <a:t>Click here for step-by-step</a:t>
            </a:r>
            <a:r>
              <a:rPr lang="en-AU" sz="1100" u="sng" baseline="0">
                <a:solidFill>
                  <a:schemeClr val="dk1"/>
                </a:solidFill>
                <a:effectLst/>
                <a:latin typeface="+mn-lt"/>
                <a:ea typeface="+mn-ea"/>
                <a:cs typeface="+mn-cs"/>
              </a:rPr>
              <a:t> instructions and estimated time to complete</a:t>
            </a:r>
            <a:endParaRPr lang="en-AU" sz="1200">
              <a:effectLst/>
            </a:endParaRPr>
          </a:p>
          <a:p>
            <a:endParaRPr lang="en-AU" sz="1200">
              <a:solidFill>
                <a:schemeClr val="bg1"/>
              </a:solidFill>
            </a:endParaRPr>
          </a:p>
        </xdr:txBody>
      </xdr:sp>
    </xdr:grpSp>
    <xdr:clientData/>
  </xdr:twoCellAnchor>
  <xdr:twoCellAnchor>
    <xdr:from>
      <xdr:col>13</xdr:col>
      <xdr:colOff>825500</xdr:colOff>
      <xdr:row>51</xdr:row>
      <xdr:rowOff>189680</xdr:rowOff>
    </xdr:from>
    <xdr:to>
      <xdr:col>15</xdr:col>
      <xdr:colOff>79375</xdr:colOff>
      <xdr:row>56</xdr:row>
      <xdr:rowOff>59395</xdr:rowOff>
    </xdr:to>
    <xdr:grpSp>
      <xdr:nvGrpSpPr>
        <xdr:cNvPr id="22" name="Group 21">
          <a:extLst>
            <a:ext uri="{FF2B5EF4-FFF2-40B4-BE49-F238E27FC236}">
              <a16:creationId xmlns:a16="http://schemas.microsoft.com/office/drawing/2014/main" id="{27F0885E-D35F-49A5-A700-D30255705F60}"/>
            </a:ext>
          </a:extLst>
        </xdr:cNvPr>
        <xdr:cNvGrpSpPr/>
      </xdr:nvGrpSpPr>
      <xdr:grpSpPr>
        <a:xfrm>
          <a:off x="8597900" y="12448355"/>
          <a:ext cx="1558925" cy="879365"/>
          <a:chOff x="8747672" y="12289714"/>
          <a:chExt cx="1618703" cy="881336"/>
        </a:xfrm>
      </xdr:grpSpPr>
      <xdr:sp macro="" textlink="">
        <xdr:nvSpPr>
          <xdr:cNvPr id="7" name="Arrow: Right 6">
            <a:extLst>
              <a:ext uri="{FF2B5EF4-FFF2-40B4-BE49-F238E27FC236}">
                <a16:creationId xmlns:a16="http://schemas.microsoft.com/office/drawing/2014/main" id="{4F356286-1D8A-4247-BFCD-E80651019D66}"/>
              </a:ext>
            </a:extLst>
          </xdr:cNvPr>
          <xdr:cNvSpPr/>
        </xdr:nvSpPr>
        <xdr:spPr>
          <a:xfrm>
            <a:off x="8747672" y="12289714"/>
            <a:ext cx="1618703" cy="881336"/>
          </a:xfrm>
          <a:prstGeom prst="rightArrow">
            <a:avLst/>
          </a:prstGeom>
          <a:solidFill>
            <a:schemeClr val="accent6">
              <a:lumMod val="60000"/>
              <a:lumOff val="4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TextBox 9">
            <a:hlinkClick xmlns:r="http://schemas.openxmlformats.org/officeDocument/2006/relationships" r:id="rId2"/>
            <a:extLst>
              <a:ext uri="{FF2B5EF4-FFF2-40B4-BE49-F238E27FC236}">
                <a16:creationId xmlns:a16="http://schemas.microsoft.com/office/drawing/2014/main" id="{16240F8E-965B-46B3-9804-B682F6695368}"/>
              </a:ext>
            </a:extLst>
          </xdr:cNvPr>
          <xdr:cNvSpPr txBox="1"/>
        </xdr:nvSpPr>
        <xdr:spPr>
          <a:xfrm>
            <a:off x="8821847" y="12591886"/>
            <a:ext cx="1261789" cy="289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Get started</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264795</xdr:colOff>
      <xdr:row>1</xdr:row>
      <xdr:rowOff>110489</xdr:rowOff>
    </xdr:from>
    <xdr:to>
      <xdr:col>13</xdr:col>
      <xdr:colOff>0</xdr:colOff>
      <xdr:row>18</xdr:row>
      <xdr:rowOff>396240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726555" y="384809"/>
          <a:ext cx="4109085" cy="5810251"/>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Define the scope of your food fraud vulnerability assessment on this worksheet.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Type information into the green boxes.</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you enter here is reproduced on the front page of the completed assessment document ('Results section 1').  The information can be changed at any time by returning to this worksheet; the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review due date is a suggestion only, both dates can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u="sng" baseline="0">
              <a:solidFill>
                <a:srgbClr val="FF0000"/>
              </a:solidFill>
              <a:effectLst/>
              <a:latin typeface="+mn-lt"/>
              <a:ea typeface="+mn-ea"/>
              <a:cs typeface="+mn-cs"/>
            </a:rPr>
            <a:t>Defining the group of materials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 material group is a family of ingredients or raw materials that are of similar composition and have similar supply chain characteristics.  If you are unsure of which materials to include within a group, just start with your best guess.  As you answer questions on the other worksheets it will soon be clear whether you can include more materials within a group or not.  It is simple to expand or reduce the scope after you have started; simply return to this page and add or remove items from the table of materials.</a:t>
          </a:r>
          <a:endParaRPr lang="en-AU" sz="1200">
            <a:solidFill>
              <a:srgbClr val="FF0000"/>
            </a:solidFill>
            <a:effectLst/>
          </a:endParaRPr>
        </a:p>
        <a:p>
          <a:endParaRPr lang="en-AU" sz="1100"/>
        </a:p>
      </xdr:txBody>
    </xdr:sp>
    <xdr:clientData/>
  </xdr:twoCellAnchor>
  <xdr:twoCellAnchor>
    <xdr:from>
      <xdr:col>3</xdr:col>
      <xdr:colOff>1013460</xdr:colOff>
      <xdr:row>1</xdr:row>
      <xdr:rowOff>365760</xdr:rowOff>
    </xdr:from>
    <xdr:to>
      <xdr:col>4</xdr:col>
      <xdr:colOff>1181100</xdr:colOff>
      <xdr:row>3</xdr:row>
      <xdr:rowOff>22860</xdr:rowOff>
    </xdr:to>
    <xdr:sp macro="" textlink="">
      <xdr:nvSpPr>
        <xdr:cNvPr id="5" name="TextBox 4">
          <a:extLst>
            <a:ext uri="{FF2B5EF4-FFF2-40B4-BE49-F238E27FC236}">
              <a16:creationId xmlns:a16="http://schemas.microsoft.com/office/drawing/2014/main" id="{C360D3B0-D07D-42EF-9058-08F46253F8C4}"/>
            </a:ext>
          </a:extLst>
        </xdr:cNvPr>
        <xdr:cNvSpPr txBox="1"/>
      </xdr:nvSpPr>
      <xdr:spPr>
        <a:xfrm>
          <a:off x="4274820" y="640080"/>
          <a:ext cx="1402080" cy="47244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start here</a:t>
          </a:r>
        </a:p>
      </xdr:txBody>
    </xdr:sp>
    <xdr:clientData/>
  </xdr:twoCellAnchor>
  <xdr:twoCellAnchor>
    <xdr:from>
      <xdr:col>4</xdr:col>
      <xdr:colOff>746760</xdr:colOff>
      <xdr:row>2</xdr:row>
      <xdr:rowOff>22860</xdr:rowOff>
    </xdr:from>
    <xdr:to>
      <xdr:col>4</xdr:col>
      <xdr:colOff>982980</xdr:colOff>
      <xdr:row>5</xdr:row>
      <xdr:rowOff>3810</xdr:rowOff>
    </xdr:to>
    <xdr:sp macro="" textlink="">
      <xdr:nvSpPr>
        <xdr:cNvPr id="4" name="Down Arrow 3">
          <a:extLst>
            <a:ext uri="{FF2B5EF4-FFF2-40B4-BE49-F238E27FC236}">
              <a16:creationId xmlns:a16="http://schemas.microsoft.com/office/drawing/2014/main" id="{00000000-0008-0000-0100-000004000000}"/>
            </a:ext>
          </a:extLst>
        </xdr:cNvPr>
        <xdr:cNvSpPr/>
      </xdr:nvSpPr>
      <xdr:spPr>
        <a:xfrm>
          <a:off x="5242560" y="944880"/>
          <a:ext cx="236220" cy="331470"/>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1380822</xdr:colOff>
      <xdr:row>8</xdr:row>
      <xdr:rowOff>63472</xdr:rowOff>
    </xdr:from>
    <xdr:to>
      <xdr:col>9</xdr:col>
      <xdr:colOff>5832811</xdr:colOff>
      <xdr:row>16</xdr:row>
      <xdr:rowOff>104776</xdr:rowOff>
    </xdr:to>
    <xdr:sp macro="" textlink="">
      <xdr:nvSpPr>
        <xdr:cNvPr id="2" name="TextBox 1">
          <a:extLst>
            <a:ext uri="{FF2B5EF4-FFF2-40B4-BE49-F238E27FC236}">
              <a16:creationId xmlns:a16="http://schemas.microsoft.com/office/drawing/2014/main" id="{A0D97E3A-4BD3-43BB-88DE-D95CC56A166B}"/>
            </a:ext>
          </a:extLst>
        </xdr:cNvPr>
        <xdr:cNvSpPr txBox="1"/>
      </xdr:nvSpPr>
      <xdr:spPr>
        <a:xfrm>
          <a:off x="9057972" y="1225522"/>
          <a:ext cx="4451989" cy="4918104"/>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Likelihood worksheet 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this worksheet to help assess the likelihood that food fraud will affect this material prior to it entering your facility.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You can enter information into the white cells.  The blue cells cannot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Read the question in column 3 of the table, then choose an answer by clicking on the cell in column 5 and choosing from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comments that support your answer or provide more information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in the results column and the comments you enter are reproduced in the printable vulnerability assessment document ('Results section 2').  The information in the results page can be changed at any time by returning to this sheet; the printable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For help with the questions, click on the links in the 'Help' column.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you wish to enter 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5</xdr:col>
      <xdr:colOff>476251</xdr:colOff>
      <xdr:row>2</xdr:row>
      <xdr:rowOff>85725</xdr:rowOff>
    </xdr:from>
    <xdr:to>
      <xdr:col>5</xdr:col>
      <xdr:colOff>1066801</xdr:colOff>
      <xdr:row>8</xdr:row>
      <xdr:rowOff>190500</xdr:rowOff>
    </xdr:to>
    <xdr:sp macro="" textlink="">
      <xdr:nvSpPr>
        <xdr:cNvPr id="3" name="TextBox 2">
          <a:extLst>
            <a:ext uri="{FF2B5EF4-FFF2-40B4-BE49-F238E27FC236}">
              <a16:creationId xmlns:a16="http://schemas.microsoft.com/office/drawing/2014/main" id="{F26C277C-1EAD-489D-AA04-728C7B822480}"/>
            </a:ext>
          </a:extLst>
        </xdr:cNvPr>
        <xdr:cNvSpPr txBox="1"/>
      </xdr:nvSpPr>
      <xdr:spPr>
        <a:xfrm>
          <a:off x="4644391" y="451485"/>
          <a:ext cx="590550" cy="882015"/>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click</a:t>
          </a:r>
          <a:r>
            <a:rPr lang="en-AU" sz="1200" b="1" baseline="0">
              <a:solidFill>
                <a:srgbClr val="FF0000"/>
              </a:solidFill>
              <a:latin typeface="+mn-lt"/>
            </a:rPr>
            <a:t> this cell to </a:t>
          </a:r>
          <a:r>
            <a:rPr lang="en-AU" sz="1200" b="1">
              <a:solidFill>
                <a:srgbClr val="FF0000"/>
              </a:solidFill>
              <a:latin typeface="+mn-lt"/>
            </a:rPr>
            <a:t>start</a:t>
          </a:r>
        </a:p>
      </xdr:txBody>
    </xdr:sp>
    <xdr:clientData/>
  </xdr:twoCellAnchor>
  <xdr:twoCellAnchor>
    <xdr:from>
      <xdr:col>5</xdr:col>
      <xdr:colOff>657225</xdr:colOff>
      <xdr:row>8</xdr:row>
      <xdr:rowOff>238125</xdr:rowOff>
    </xdr:from>
    <xdr:to>
      <xdr:col>5</xdr:col>
      <xdr:colOff>819150</xdr:colOff>
      <xdr:row>9</xdr:row>
      <xdr:rowOff>76200</xdr:rowOff>
    </xdr:to>
    <xdr:sp macro="" textlink="">
      <xdr:nvSpPr>
        <xdr:cNvPr id="4" name="Down Arrow 3">
          <a:extLst>
            <a:ext uri="{FF2B5EF4-FFF2-40B4-BE49-F238E27FC236}">
              <a16:creationId xmlns:a16="http://schemas.microsoft.com/office/drawing/2014/main" id="{64E85C75-E633-40BE-B1CA-488D962C599C}"/>
            </a:ext>
          </a:extLst>
        </xdr:cNvPr>
        <xdr:cNvSpPr/>
      </xdr:nvSpPr>
      <xdr:spPr>
        <a:xfrm>
          <a:off x="4825365" y="1381125"/>
          <a:ext cx="161925" cy="23431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1130743</xdr:colOff>
      <xdr:row>3</xdr:row>
      <xdr:rowOff>172187</xdr:rowOff>
    </xdr:from>
    <xdr:to>
      <xdr:col>8</xdr:col>
      <xdr:colOff>841375</xdr:colOff>
      <xdr:row>9</xdr:row>
      <xdr:rowOff>420686</xdr:rowOff>
    </xdr:to>
    <xdr:sp macro="" textlink="">
      <xdr:nvSpPr>
        <xdr:cNvPr id="5" name="TextBox 4">
          <a:extLst>
            <a:ext uri="{FF2B5EF4-FFF2-40B4-BE49-F238E27FC236}">
              <a16:creationId xmlns:a16="http://schemas.microsoft.com/office/drawing/2014/main" id="{69A0BA18-BCD4-4F9D-AE5A-1E3946E9BAF4}"/>
            </a:ext>
          </a:extLst>
        </xdr:cNvPr>
        <xdr:cNvSpPr txBox="1"/>
      </xdr:nvSpPr>
      <xdr:spPr>
        <a:xfrm>
          <a:off x="5298883" y="857987"/>
          <a:ext cx="868872" cy="1101939"/>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Calibri" panose="020F0502020204030204" pitchFamily="34" charset="0"/>
            </a:rPr>
            <a:t>then click</a:t>
          </a:r>
          <a:r>
            <a:rPr lang="en-AU" sz="1200" b="1" baseline="0">
              <a:solidFill>
                <a:srgbClr val="FF0000"/>
              </a:solidFill>
              <a:latin typeface="Calibri" panose="020F0502020204030204" pitchFamily="34" charset="0"/>
            </a:rPr>
            <a:t> on the arrow that appears here</a:t>
          </a:r>
          <a:endParaRPr lang="en-AU" sz="1200" b="1">
            <a:solidFill>
              <a:srgbClr val="FF0000"/>
            </a:solidFill>
            <a:latin typeface="Calibri" panose="020F0502020204030204" pitchFamily="34" charset="0"/>
          </a:endParaRPr>
        </a:p>
      </xdr:txBody>
    </xdr:sp>
    <xdr:clientData/>
  </xdr:twoCellAnchor>
  <xdr:twoCellAnchor>
    <xdr:from>
      <xdr:col>5</xdr:col>
      <xdr:colOff>657225</xdr:colOff>
      <xdr:row>8</xdr:row>
      <xdr:rowOff>238125</xdr:rowOff>
    </xdr:from>
    <xdr:to>
      <xdr:col>5</xdr:col>
      <xdr:colOff>819150</xdr:colOff>
      <xdr:row>9</xdr:row>
      <xdr:rowOff>76200</xdr:rowOff>
    </xdr:to>
    <xdr:sp macro="" textlink="">
      <xdr:nvSpPr>
        <xdr:cNvPr id="6" name="Down Arrow 3">
          <a:extLst>
            <a:ext uri="{FF2B5EF4-FFF2-40B4-BE49-F238E27FC236}">
              <a16:creationId xmlns:a16="http://schemas.microsoft.com/office/drawing/2014/main" id="{98D8037B-9A54-4DA2-9F8C-177B31F6DE70}"/>
            </a:ext>
          </a:extLst>
        </xdr:cNvPr>
        <xdr:cNvSpPr/>
      </xdr:nvSpPr>
      <xdr:spPr>
        <a:xfrm>
          <a:off x="4825365" y="1381125"/>
          <a:ext cx="161925" cy="23431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1106033</xdr:colOff>
      <xdr:row>9</xdr:row>
      <xdr:rowOff>254000</xdr:rowOff>
    </xdr:from>
    <xdr:to>
      <xdr:col>8</xdr:col>
      <xdr:colOff>124958</xdr:colOff>
      <xdr:row>9</xdr:row>
      <xdr:rowOff>438785</xdr:rowOff>
    </xdr:to>
    <xdr:sp macro="" textlink="">
      <xdr:nvSpPr>
        <xdr:cNvPr id="7" name="Down Arrow 5">
          <a:extLst>
            <a:ext uri="{FF2B5EF4-FFF2-40B4-BE49-F238E27FC236}">
              <a16:creationId xmlns:a16="http://schemas.microsoft.com/office/drawing/2014/main" id="{1F31C06C-E4D2-41B7-AFD6-7B1298966E7A}"/>
            </a:ext>
          </a:extLst>
        </xdr:cNvPr>
        <xdr:cNvSpPr/>
      </xdr:nvSpPr>
      <xdr:spPr>
        <a:xfrm>
          <a:off x="5514747" y="1767114"/>
          <a:ext cx="172811" cy="18478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8</xdr:col>
          <xdr:colOff>779577</xdr:colOff>
          <xdr:row>0</xdr:row>
          <xdr:rowOff>0</xdr:rowOff>
        </xdr:from>
        <xdr:to>
          <xdr:col>9</xdr:col>
          <xdr:colOff>9955</xdr:colOff>
          <xdr:row>8</xdr:row>
          <xdr:rowOff>113579</xdr:rowOff>
        </xdr:to>
        <xdr:pic>
          <xdr:nvPicPr>
            <xdr:cNvPr id="8" name="Picture 7">
              <a:extLst>
                <a:ext uri="{FF2B5EF4-FFF2-40B4-BE49-F238E27FC236}">
                  <a16:creationId xmlns:a16="http://schemas.microsoft.com/office/drawing/2014/main" id="{33B5C183-D3E5-4099-8D06-51F42D43A7F9}"/>
                </a:ext>
              </a:extLst>
            </xdr:cNvPr>
            <xdr:cNvPicPr>
              <a:picLocks noChangeAspect="1" noChangeArrowheads="1"/>
              <a:extLst>
                <a:ext uri="{84589F7E-364E-4C9E-8A38-B11213B215E9}">
                  <a14:cameraTool cellRange="riskmatrix" spid="_x0000_s10407"/>
                </a:ext>
              </a:extLst>
            </xdr:cNvPicPr>
          </xdr:nvPicPr>
          <xdr:blipFill>
            <a:blip xmlns:r="http://schemas.openxmlformats.org/officeDocument/2006/relationships" r:embed="rId1"/>
            <a:srcRect/>
            <a:stretch>
              <a:fillRect/>
            </a:stretch>
          </xdr:blipFill>
          <xdr:spPr bwMode="auto">
            <a:xfrm>
              <a:off x="6105957" y="0"/>
              <a:ext cx="1325879" cy="125657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752475</xdr:colOff>
      <xdr:row>8</xdr:row>
      <xdr:rowOff>1578</xdr:rowOff>
    </xdr:from>
    <xdr:to>
      <xdr:col>5</xdr:col>
      <xdr:colOff>1104900</xdr:colOff>
      <xdr:row>9</xdr:row>
      <xdr:rowOff>66675</xdr:rowOff>
    </xdr:to>
    <xdr:sp macro="" textlink="">
      <xdr:nvSpPr>
        <xdr:cNvPr id="2" name="Down Arrow 3">
          <a:extLst>
            <a:ext uri="{FF2B5EF4-FFF2-40B4-BE49-F238E27FC236}">
              <a16:creationId xmlns:a16="http://schemas.microsoft.com/office/drawing/2014/main" id="{0A1EDA15-8246-46C2-8B5A-0BD6CF4A001C}"/>
            </a:ext>
          </a:extLst>
        </xdr:cNvPr>
        <xdr:cNvSpPr/>
      </xdr:nvSpPr>
      <xdr:spPr>
        <a:xfrm>
          <a:off x="4924425" y="1125528"/>
          <a:ext cx="352425" cy="465147"/>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1138989</xdr:colOff>
      <xdr:row>4</xdr:row>
      <xdr:rowOff>24064</xdr:rowOff>
    </xdr:from>
    <xdr:to>
      <xdr:col>9</xdr:col>
      <xdr:colOff>5782235</xdr:colOff>
      <xdr:row>14</xdr:row>
      <xdr:rowOff>333375</xdr:rowOff>
    </xdr:to>
    <xdr:sp macro="" textlink="">
      <xdr:nvSpPr>
        <xdr:cNvPr id="3" name="TextBox 2">
          <a:extLst>
            <a:ext uri="{FF2B5EF4-FFF2-40B4-BE49-F238E27FC236}">
              <a16:creationId xmlns:a16="http://schemas.microsoft.com/office/drawing/2014/main" id="{AC54C565-A745-4EB2-B10B-A02731DF4D91}"/>
            </a:ext>
          </a:extLst>
        </xdr:cNvPr>
        <xdr:cNvSpPr txBox="1"/>
      </xdr:nvSpPr>
      <xdr:spPr>
        <a:xfrm>
          <a:off x="8568489" y="881314"/>
          <a:ext cx="4643246" cy="5195636"/>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Detection worksheet 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this worksheet to help assess the likelihood that fraudulent adulteration or substitution would be detected in this material.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You can enter information into the white cells.  The coloured cells cannot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Read the question in column 3 of the table, then choose an answer by clicking on the cell in column 5 and choosing from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comments that support your answer or provide more information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wish to copy the answers from another excel file, that will work fine.</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in the results column and the comments you enter are reproduced in the printable vulnerability assessment document ('Results section 2').  The information in the results page can be changed at any time by returning to this sheet; the printable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For help with the questions, click on the links in the 'Help' column.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you wish to enter 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8</xdr:col>
          <xdr:colOff>777080</xdr:colOff>
          <xdr:row>0</xdr:row>
          <xdr:rowOff>8325</xdr:rowOff>
        </xdr:from>
        <xdr:to>
          <xdr:col>8</xdr:col>
          <xdr:colOff>2038234</xdr:colOff>
          <xdr:row>8</xdr:row>
          <xdr:rowOff>133297</xdr:rowOff>
        </xdr:to>
        <xdr:pic>
          <xdr:nvPicPr>
            <xdr:cNvPr id="4" name="Picture 3">
              <a:extLst>
                <a:ext uri="{FF2B5EF4-FFF2-40B4-BE49-F238E27FC236}">
                  <a16:creationId xmlns:a16="http://schemas.microsoft.com/office/drawing/2014/main" id="{0146D6BA-C370-48C1-AA93-45FABD79EC08}"/>
                </a:ext>
              </a:extLst>
            </xdr:cNvPr>
            <xdr:cNvPicPr>
              <a:picLocks noChangeAspect="1" noChangeArrowheads="1"/>
              <a:extLst>
                <a:ext uri="{84589F7E-364E-4C9E-8A38-B11213B215E9}">
                  <a14:cameraTool cellRange="riskmatrix" spid="_x0000_s11443"/>
                </a:ext>
              </a:extLst>
            </xdr:cNvPicPr>
          </xdr:nvPicPr>
          <xdr:blipFill>
            <a:blip xmlns:r="http://schemas.openxmlformats.org/officeDocument/2006/relationships" r:embed="rId1"/>
            <a:srcRect/>
            <a:stretch>
              <a:fillRect/>
            </a:stretch>
          </xdr:blipFill>
          <xdr:spPr bwMode="auto">
            <a:xfrm>
              <a:off x="6103383" y="8325"/>
              <a:ext cx="1308779" cy="125642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668867</xdr:colOff>
      <xdr:row>2</xdr:row>
      <xdr:rowOff>233410</xdr:rowOff>
    </xdr:from>
    <xdr:to>
      <xdr:col>8</xdr:col>
      <xdr:colOff>83897</xdr:colOff>
      <xdr:row>7</xdr:row>
      <xdr:rowOff>40408</xdr:rowOff>
    </xdr:to>
    <xdr:sp macro="" textlink="">
      <xdr:nvSpPr>
        <xdr:cNvPr id="5" name="TextBox 4">
          <a:extLst>
            <a:ext uri="{FF2B5EF4-FFF2-40B4-BE49-F238E27FC236}">
              <a16:creationId xmlns:a16="http://schemas.microsoft.com/office/drawing/2014/main" id="{4D13F25B-D25B-4B8B-9372-8813F1C238EC}"/>
            </a:ext>
          </a:extLst>
        </xdr:cNvPr>
        <xdr:cNvSpPr txBox="1"/>
      </xdr:nvSpPr>
      <xdr:spPr>
        <a:xfrm>
          <a:off x="4840817" y="604885"/>
          <a:ext cx="577080" cy="502323"/>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start here</a:t>
          </a:r>
        </a:p>
      </xdr:txBody>
    </xdr:sp>
    <xdr:clientData/>
  </xdr:twoCellAnchor>
  <xdr:twoCellAnchor>
    <xdr:from>
      <xdr:col>8</xdr:col>
      <xdr:colOff>238126</xdr:colOff>
      <xdr:row>9</xdr:row>
      <xdr:rowOff>152400</xdr:rowOff>
    </xdr:from>
    <xdr:to>
      <xdr:col>9</xdr:col>
      <xdr:colOff>1019176</xdr:colOff>
      <xdr:row>12</xdr:row>
      <xdr:rowOff>247650</xdr:rowOff>
    </xdr:to>
    <xdr:sp macro="" textlink="">
      <xdr:nvSpPr>
        <xdr:cNvPr id="6" name="TextBox 5">
          <a:extLst>
            <a:ext uri="{FF2B5EF4-FFF2-40B4-BE49-F238E27FC236}">
              <a16:creationId xmlns:a16="http://schemas.microsoft.com/office/drawing/2014/main" id="{1D038F95-39C6-40C2-84FD-03A2A4E18D99}"/>
            </a:ext>
          </a:extLst>
        </xdr:cNvPr>
        <xdr:cNvSpPr txBox="1"/>
      </xdr:nvSpPr>
      <xdr:spPr>
        <a:xfrm>
          <a:off x="5572126" y="1676400"/>
          <a:ext cx="2876550" cy="240030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Why are some of these questions repeated?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Some of the questions on this sheet are the same as on the Occurrence worksheet.  The questions are repeated on the recommendation of the BRC in their document </a:t>
          </a:r>
          <a:r>
            <a:rPr lang="en-US" sz="1200" b="0" i="1" baseline="0">
              <a:solidFill>
                <a:srgbClr val="FF0000"/>
              </a:solidFill>
              <a:effectLst/>
              <a:latin typeface="+mn-lt"/>
              <a:ea typeface="+mn-ea"/>
              <a:cs typeface="+mn-cs"/>
            </a:rPr>
            <a:t>Understanding Vulnerability Assessment </a:t>
          </a:r>
          <a:r>
            <a:rPr lang="en-US" sz="1200" b="0" i="0" baseline="0">
              <a:solidFill>
                <a:srgbClr val="FF0000"/>
              </a:solidFill>
              <a:effectLst/>
              <a:latin typeface="+mn-lt"/>
              <a:ea typeface="+mn-ea"/>
              <a:cs typeface="+mn-cs"/>
            </a:rPr>
            <a:t>(2015).</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desired.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180975</xdr:colOff>
      <xdr:row>0</xdr:row>
      <xdr:rowOff>133351</xdr:rowOff>
    </xdr:from>
    <xdr:to>
      <xdr:col>13</xdr:col>
      <xdr:colOff>581025</xdr:colOff>
      <xdr:row>9</xdr:row>
      <xdr:rowOff>794085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902617" y="133351"/>
          <a:ext cx="4947987" cy="3419976"/>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Vulnerability assessment document, section 1: purpose and scope</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is the first page of your completed vulnerability assessment document.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on this page can be printed to paper, exported to pdf or you can copy and paste the results into a larger document.  Be sure to add document control features including page numbers, document identification and date or version number.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are pasting the results from this sheet into a new excel document use the 'Paste special' function, then choose 'values' to avoid copying formulas that will look strange in the new spreadsheet.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sheet cannot be edited.  If you wish to change any details, return to the </a:t>
          </a:r>
          <a:r>
            <a:rPr lang="en-US" sz="1200" b="0" i="1" baseline="0">
              <a:solidFill>
                <a:srgbClr val="FF0000"/>
              </a:solidFill>
              <a:effectLst/>
              <a:latin typeface="+mn-lt"/>
              <a:ea typeface="+mn-ea"/>
              <a:cs typeface="+mn-cs"/>
            </a:rPr>
            <a:t>Scope worksheet</a:t>
          </a:r>
          <a:r>
            <a:rPr lang="en-US" sz="1200" b="0" i="0" baseline="0">
              <a:solidFill>
                <a:srgbClr val="FF0000"/>
              </a:solidFill>
              <a:effectLst/>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371476</xdr:colOff>
      <xdr:row>0</xdr:row>
      <xdr:rowOff>171452</xdr:rowOff>
    </xdr:from>
    <xdr:to>
      <xdr:col>17</xdr:col>
      <xdr:colOff>971551</xdr:colOff>
      <xdr:row>14</xdr:row>
      <xdr:rowOff>114300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894196" y="171452"/>
          <a:ext cx="4760595" cy="4179568"/>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Vulnerability assessment document: results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is the second part of your completed vulnerability assessment document.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here can be edited by returning to the </a:t>
          </a:r>
          <a:r>
            <a:rPr lang="en-US" sz="1200" b="0" i="1" baseline="0">
              <a:solidFill>
                <a:srgbClr val="FF0000"/>
              </a:solidFill>
              <a:effectLst/>
              <a:latin typeface="+mn-lt"/>
              <a:ea typeface="+mn-ea"/>
              <a:cs typeface="+mn-cs"/>
            </a:rPr>
            <a:t>Scope worksheet</a:t>
          </a:r>
          <a:r>
            <a:rPr lang="en-US" sz="1200" b="0" i="0" baseline="0">
              <a:solidFill>
                <a:srgbClr val="FF0000"/>
              </a:solidFill>
              <a:effectLst/>
              <a:latin typeface="+mn-lt"/>
              <a:ea typeface="+mn-ea"/>
              <a:cs typeface="+mn-cs"/>
            </a:rPr>
            <a:t>, </a:t>
          </a:r>
          <a:r>
            <a:rPr lang="en-US" sz="1200" b="0" i="1" baseline="0">
              <a:solidFill>
                <a:srgbClr val="FF0000"/>
              </a:solidFill>
              <a:effectLst/>
              <a:latin typeface="+mn-lt"/>
              <a:ea typeface="+mn-ea"/>
              <a:cs typeface="+mn-cs"/>
            </a:rPr>
            <a:t>Occurrence worksheet</a:t>
          </a:r>
          <a:r>
            <a:rPr lang="en-US" sz="1200" b="0" i="0" baseline="0">
              <a:solidFill>
                <a:srgbClr val="FF0000"/>
              </a:solidFill>
              <a:effectLst/>
              <a:latin typeface="+mn-lt"/>
              <a:ea typeface="+mn-ea"/>
              <a:cs typeface="+mn-cs"/>
            </a:rPr>
            <a:t> and the </a:t>
          </a:r>
          <a:r>
            <a:rPr lang="en-US" sz="1200" b="0" i="1" baseline="0">
              <a:solidFill>
                <a:srgbClr val="FF0000"/>
              </a:solidFill>
              <a:effectLst/>
              <a:latin typeface="+mn-lt"/>
              <a:ea typeface="+mn-ea"/>
              <a:cs typeface="+mn-cs"/>
            </a:rPr>
            <a:t>Detection worksheet</a:t>
          </a:r>
          <a:r>
            <a:rPr lang="en-US" sz="1200" b="0" i="0" baseline="0">
              <a:solidFill>
                <a:srgbClr val="FF0000"/>
              </a:solidFill>
              <a:effectLst/>
              <a:latin typeface="+mn-lt"/>
              <a:ea typeface="+mn-ea"/>
              <a:cs typeface="+mn-cs"/>
            </a:rPr>
            <a:t>.  If you disagree with the  results, simply return to the relevant worksheet and change your estimate of likelihood in the bottom row of the table; the results on this sheet will update automatically. </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on this sheet can be printed to paper, exported to pdf or you can copy and paste the results into a larger document.  Be sure to add document control features including page numbers, document identification and date or version number.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are pasting into a new excel document use the 'Paste special' function, then choose 'values' to avoid copying formulas that will look strange in the new spreadsheet.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12</xdr:col>
      <xdr:colOff>171450</xdr:colOff>
      <xdr:row>28</xdr:row>
      <xdr:rowOff>238125</xdr:rowOff>
    </xdr:from>
    <xdr:to>
      <xdr:col>17</xdr:col>
      <xdr:colOff>771525</xdr:colOff>
      <xdr:row>36</xdr:row>
      <xdr:rowOff>38100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6515100" y="8810625"/>
          <a:ext cx="4648200" cy="299085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The </a:t>
          </a:r>
          <a:r>
            <a:rPr lang="en-AU" sz="1200" b="0" i="1" baseline="0">
              <a:solidFill>
                <a:srgbClr val="FF0000"/>
              </a:solidFill>
              <a:effectLst/>
              <a:latin typeface="+mn-lt"/>
              <a:ea typeface="+mn-ea"/>
              <a:cs typeface="+mn-cs"/>
            </a:rPr>
            <a:t>Vulnerability Assessment Tool </a:t>
          </a:r>
          <a:r>
            <a:rPr lang="en-AU" sz="1200" b="0" i="0" baseline="0">
              <a:solidFill>
                <a:srgbClr val="FF0000"/>
              </a:solidFill>
              <a:effectLst/>
              <a:latin typeface="+mn-lt"/>
              <a:ea typeface="+mn-ea"/>
              <a:cs typeface="+mn-cs"/>
            </a:rPr>
            <a:t>does not enforce a limit on the length of comments that users can add.</a:t>
          </a:r>
        </a:p>
        <a:p>
          <a:pPr marL="0" marR="0" indent="0" defTabSz="914400" rtl="0" eaLnBrk="1" fontAlgn="auto" latinLnBrk="0" hangingPunct="1">
            <a:lnSpc>
              <a:spcPct val="100000"/>
            </a:lnSpc>
            <a:spcBef>
              <a:spcPts val="0"/>
            </a:spcBef>
            <a:spcAft>
              <a:spcPts val="0"/>
            </a:spcAft>
            <a:buClrTx/>
            <a:buSzTx/>
            <a:buFontTx/>
            <a:buNone/>
            <a:tabLst/>
            <a:defRPr/>
          </a:pP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However if you added very lengthy comments when performing your assessment the final parts of some comments may be obscured in this table.  </a:t>
          </a:r>
        </a:p>
        <a:p>
          <a:pPr marL="0" marR="0" indent="0" defTabSz="914400" rtl="0" eaLnBrk="1" fontAlgn="auto" latinLnBrk="0" hangingPunct="1">
            <a:lnSpc>
              <a:spcPct val="100000"/>
            </a:lnSpc>
            <a:spcBef>
              <a:spcPts val="0"/>
            </a:spcBef>
            <a:spcAft>
              <a:spcPts val="0"/>
            </a:spcAft>
            <a:buClrTx/>
            <a:buSzTx/>
            <a:buFontTx/>
            <a:buNone/>
            <a:tabLst/>
            <a:defRPr/>
          </a:pP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To fix this problem adjust the row height of affected cells by right clicking the row number at the left of the screen.  Increase the row height until all of your comments are visible. </a:t>
          </a: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11</xdr:col>
      <xdr:colOff>28575</xdr:colOff>
      <xdr:row>30</xdr:row>
      <xdr:rowOff>104775</xdr:rowOff>
    </xdr:from>
    <xdr:to>
      <xdr:col>12</xdr:col>
      <xdr:colOff>133350</xdr:colOff>
      <xdr:row>30</xdr:row>
      <xdr:rowOff>419100</xdr:rowOff>
    </xdr:to>
    <xdr:sp macro="" textlink="">
      <xdr:nvSpPr>
        <xdr:cNvPr id="3" name="Right Arrow 2">
          <a:extLst>
            <a:ext uri="{FF2B5EF4-FFF2-40B4-BE49-F238E27FC236}">
              <a16:creationId xmlns:a16="http://schemas.microsoft.com/office/drawing/2014/main" id="{00000000-0008-0000-0500-000003000000}"/>
            </a:ext>
          </a:extLst>
        </xdr:cNvPr>
        <xdr:cNvSpPr/>
      </xdr:nvSpPr>
      <xdr:spPr>
        <a:xfrm rot="10800000">
          <a:off x="5791200" y="9715500"/>
          <a:ext cx="685800" cy="314325"/>
        </a:xfrm>
        <a:prstGeom prst="right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144780</xdr:colOff>
      <xdr:row>12</xdr:row>
      <xdr:rowOff>304800</xdr:rowOff>
    </xdr:from>
    <xdr:to>
      <xdr:col>1</xdr:col>
      <xdr:colOff>374469</xdr:colOff>
      <xdr:row>20</xdr:row>
      <xdr:rowOff>7620</xdr:rowOff>
    </xdr:to>
    <xdr:sp macro="" textlink="">
      <xdr:nvSpPr>
        <xdr:cNvPr id="8" name="TextBox 7">
          <a:extLst>
            <a:ext uri="{FF2B5EF4-FFF2-40B4-BE49-F238E27FC236}">
              <a16:creationId xmlns:a16="http://schemas.microsoft.com/office/drawing/2014/main" id="{68F9A111-4D1A-459F-9CD2-4F17AC5D7517}"/>
            </a:ext>
          </a:extLst>
        </xdr:cNvPr>
        <xdr:cNvSpPr txBox="1">
          <a:spLocks noChangeAspect="1"/>
        </xdr:cNvSpPr>
      </xdr:nvSpPr>
      <xdr:spPr>
        <a:xfrm>
          <a:off x="144780" y="3893820"/>
          <a:ext cx="465909" cy="353568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bIns="108000" rtlCol="0" anchor="t"/>
        <a:lstStyle/>
        <a:p>
          <a:r>
            <a:rPr lang="en-AU" sz="1800" b="1">
              <a:latin typeface="Arial" panose="020B0604020202020204" pitchFamily="34" charset="0"/>
              <a:cs typeface="Arial" panose="020B0604020202020204" pitchFamily="34" charset="0"/>
            </a:rPr>
            <a:t>Likelihood of detection</a:t>
          </a:r>
        </a:p>
      </xdr:txBody>
    </xdr:sp>
    <xdr:clientData/>
  </xdr:twoCellAnchor>
  <xdr:twoCellAnchor>
    <xdr:from>
      <xdr:col>1</xdr:col>
      <xdr:colOff>350520</xdr:colOff>
      <xdr:row>12</xdr:row>
      <xdr:rowOff>304800</xdr:rowOff>
    </xdr:from>
    <xdr:to>
      <xdr:col>8</xdr:col>
      <xdr:colOff>76200</xdr:colOff>
      <xdr:row>14</xdr:row>
      <xdr:rowOff>51163</xdr:rowOff>
    </xdr:to>
    <xdr:sp macro="" textlink="">
      <xdr:nvSpPr>
        <xdr:cNvPr id="10" name="TextBox 9">
          <a:extLst>
            <a:ext uri="{FF2B5EF4-FFF2-40B4-BE49-F238E27FC236}">
              <a16:creationId xmlns:a16="http://schemas.microsoft.com/office/drawing/2014/main" id="{C0C44A08-0A24-4889-A054-24FC5188DC43}"/>
            </a:ext>
          </a:extLst>
        </xdr:cNvPr>
        <xdr:cNvSpPr txBox="1"/>
      </xdr:nvSpPr>
      <xdr:spPr>
        <a:xfrm>
          <a:off x="586740" y="3893820"/>
          <a:ext cx="3634740" cy="394063"/>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latin typeface="Arial" panose="020B0604020202020204" pitchFamily="34" charset="0"/>
              <a:cs typeface="Arial" panose="020B0604020202020204" pitchFamily="34" charset="0"/>
            </a:rPr>
            <a:t>Likelihood of occurrence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5762536</xdr:colOff>
      <xdr:row>24</xdr:row>
      <xdr:rowOff>88127</xdr:rowOff>
    </xdr:from>
    <xdr:to>
      <xdr:col>2</xdr:col>
      <xdr:colOff>6134011</xdr:colOff>
      <xdr:row>26</xdr:row>
      <xdr:rowOff>72658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72891" y="13910949"/>
          <a:ext cx="371475" cy="354849"/>
        </a:xfrm>
        <a:prstGeom prst="rect">
          <a:avLst/>
        </a:prstGeom>
      </xdr:spPr>
    </xdr:pic>
    <xdr:clientData/>
  </xdr:twoCellAnchor>
  <xdr:twoCellAnchor>
    <xdr:from>
      <xdr:col>1</xdr:col>
      <xdr:colOff>0</xdr:colOff>
      <xdr:row>3</xdr:row>
      <xdr:rowOff>0</xdr:rowOff>
    </xdr:from>
    <xdr:to>
      <xdr:col>4</xdr:col>
      <xdr:colOff>952499</xdr:colOff>
      <xdr:row>3</xdr:row>
      <xdr:rowOff>2409825</xdr:rowOff>
    </xdr:to>
    <xdr:sp macro="" textlink="">
      <xdr:nvSpPr>
        <xdr:cNvPr id="3" name="Shape 3">
          <a:extLst>
            <a:ext uri="{FF2B5EF4-FFF2-40B4-BE49-F238E27FC236}">
              <a16:creationId xmlns:a16="http://schemas.microsoft.com/office/drawing/2014/main" id="{00000000-0008-0000-0700-000003000000}"/>
            </a:ext>
          </a:extLst>
        </xdr:cNvPr>
        <xdr:cNvSpPr txBox="1"/>
      </xdr:nvSpPr>
      <xdr:spPr>
        <a:xfrm>
          <a:off x="449580" y="929640"/>
          <a:ext cx="10218419" cy="2409825"/>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Overview:</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Create a new excel file for each material or group of materials.  A material group is a family of ingredients or raw materials that are of similar composition and have similar supply chain characteristics.  If you are unsure of which materials to include within a group, just start with your best guess.  When using the tool it will soon be clear whether you can include more materials within a group and it is simple to expand the scope after you have started if you want to do so.</a:t>
          </a: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Collect information about the material(s) and use it to answer questions in the worksheets.  You do not need all the information on hand to start, you can add or change the information at any time.  Start with your best guess and update your answers as you learn more.</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When you have answered all the questions, view and print the results.  Section 1 of the results defines the purpose and scope, author, date and review date.  </a:t>
          </a:r>
          <a:r>
            <a:rPr lang="en-US" sz="1200" b="0" i="0" baseline="0">
              <a:effectLst/>
              <a:latin typeface="+mn-lt"/>
              <a:ea typeface="+mn-ea"/>
              <a:cs typeface="Arial" panose="020B0604020202020204" pitchFamily="34" charset="0"/>
            </a:rPr>
            <a:t>Section 2 of the results contains the vulnerability rating, risk matrix and information about what was considered in the assessment.  </a:t>
          </a:r>
          <a:r>
            <a:rPr lang="en-US" sz="1200" b="0" i="0" u="none" strike="noStrike" cap="none" baseline="0">
              <a:solidFill>
                <a:schemeClr val="dk1"/>
              </a:solidFill>
              <a:latin typeface="+mn-lt"/>
              <a:ea typeface="Calibri"/>
              <a:cs typeface="Arial" panose="020B0604020202020204" pitchFamily="34" charset="0"/>
              <a:sym typeface="Calibri"/>
            </a:rPr>
            <a:t>You can print to paper, print to pdf or copy and paste the results into a larger document. </a:t>
          </a: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Font typeface="Arial"/>
            <a:buNone/>
          </a:pPr>
          <a:endParaRPr sz="1100" b="0" i="0" u="none" strike="noStrike" cap="none" baseline="0">
            <a:latin typeface="+mn-lt"/>
          </a:endParaRPr>
        </a:p>
        <a:p>
          <a:pPr marL="0" marR="0" lvl="0" indent="0" algn="l" rtl="0">
            <a:spcBef>
              <a:spcPts val="0"/>
            </a:spcBef>
            <a:buFont typeface="Arial"/>
            <a:buNone/>
          </a:pPr>
          <a:endParaRPr sz="1100" b="0" i="0" u="none" strike="noStrike" cap="none" baseline="0"/>
        </a:p>
      </xdr:txBody>
    </xdr:sp>
    <xdr:clientData/>
  </xdr:twoCellAnchor>
  <xdr:twoCellAnchor>
    <xdr:from>
      <xdr:col>2</xdr:col>
      <xdr:colOff>7405003</xdr:colOff>
      <xdr:row>0</xdr:row>
      <xdr:rowOff>3</xdr:rowOff>
    </xdr:from>
    <xdr:to>
      <xdr:col>4</xdr:col>
      <xdr:colOff>874662</xdr:colOff>
      <xdr:row>3</xdr:row>
      <xdr:rowOff>30564</xdr:rowOff>
    </xdr:to>
    <xdr:grpSp>
      <xdr:nvGrpSpPr>
        <xdr:cNvPr id="7" name="Group 6">
          <a:extLst>
            <a:ext uri="{FF2B5EF4-FFF2-40B4-BE49-F238E27FC236}">
              <a16:creationId xmlns:a16="http://schemas.microsoft.com/office/drawing/2014/main" id="{6DE0FD80-CB67-4280-92AD-9907DF65FDC5}"/>
            </a:ext>
          </a:extLst>
        </xdr:cNvPr>
        <xdr:cNvGrpSpPr/>
      </xdr:nvGrpSpPr>
      <xdr:grpSpPr>
        <a:xfrm>
          <a:off x="8681353" y="3"/>
          <a:ext cx="1394459" cy="964011"/>
          <a:chOff x="10180320" y="17586960"/>
          <a:chExt cx="1702451" cy="1295400"/>
        </a:xfrm>
      </xdr:grpSpPr>
      <xdr:sp macro="" textlink="">
        <xdr:nvSpPr>
          <xdr:cNvPr id="8" name="Arrow: Right 7">
            <a:extLst>
              <a:ext uri="{FF2B5EF4-FFF2-40B4-BE49-F238E27FC236}">
                <a16:creationId xmlns:a16="http://schemas.microsoft.com/office/drawing/2014/main" id="{7D0A9167-B048-4561-8913-C49B44FBBF1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TextBox 8">
            <a:hlinkClick xmlns:r="http://schemas.openxmlformats.org/officeDocument/2006/relationships" r:id="rId3"/>
            <a:extLst>
              <a:ext uri="{FF2B5EF4-FFF2-40B4-BE49-F238E27FC236}">
                <a16:creationId xmlns:a16="http://schemas.microsoft.com/office/drawing/2014/main" id="{7E042B07-1891-4156-BA04-1CB301F7A3AB}"/>
              </a:ext>
            </a:extLst>
          </xdr:cNvPr>
          <xdr:cNvSpPr txBox="1"/>
        </xdr:nvSpPr>
        <xdr:spPr>
          <a:xfrm>
            <a:off x="10404491" y="17938585"/>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xdr:from>
      <xdr:col>2</xdr:col>
      <xdr:colOff>7439895</xdr:colOff>
      <xdr:row>27</xdr:row>
      <xdr:rowOff>130536</xdr:rowOff>
    </xdr:from>
    <xdr:to>
      <xdr:col>5</xdr:col>
      <xdr:colOff>14594</xdr:colOff>
      <xdr:row>33</xdr:row>
      <xdr:rowOff>45533</xdr:rowOff>
    </xdr:to>
    <xdr:grpSp>
      <xdr:nvGrpSpPr>
        <xdr:cNvPr id="16" name="Group 15">
          <a:extLst>
            <a:ext uri="{FF2B5EF4-FFF2-40B4-BE49-F238E27FC236}">
              <a16:creationId xmlns:a16="http://schemas.microsoft.com/office/drawing/2014/main" id="{B79992CA-8ACF-4A35-9A32-C83C6342A203}"/>
            </a:ext>
          </a:extLst>
        </xdr:cNvPr>
        <xdr:cNvGrpSpPr/>
      </xdr:nvGrpSpPr>
      <xdr:grpSpPr>
        <a:xfrm>
          <a:off x="8716245" y="11874861"/>
          <a:ext cx="1423424" cy="943697"/>
          <a:chOff x="10180320" y="17586960"/>
          <a:chExt cx="1624695" cy="1304406"/>
        </a:xfrm>
      </xdr:grpSpPr>
      <xdr:sp macro="" textlink="">
        <xdr:nvSpPr>
          <xdr:cNvPr id="17" name="Arrow: Right 16">
            <a:extLst>
              <a:ext uri="{FF2B5EF4-FFF2-40B4-BE49-F238E27FC236}">
                <a16:creationId xmlns:a16="http://schemas.microsoft.com/office/drawing/2014/main" id="{C058AF58-D69F-4E35-9F49-9BC59B60950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8" name="TextBox 17">
            <a:hlinkClick xmlns:r="http://schemas.openxmlformats.org/officeDocument/2006/relationships" r:id="rId3"/>
            <a:extLst>
              <a:ext uri="{FF2B5EF4-FFF2-40B4-BE49-F238E27FC236}">
                <a16:creationId xmlns:a16="http://schemas.microsoft.com/office/drawing/2014/main" id="{CEF50CB0-270B-43C5-9953-451EC74B14F9}"/>
              </a:ext>
            </a:extLst>
          </xdr:cNvPr>
          <xdr:cNvSpPr txBox="1"/>
        </xdr:nvSpPr>
        <xdr:spPr>
          <a:xfrm>
            <a:off x="10326735" y="18025798"/>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editAs="oneCell">
    <xdr:from>
      <xdr:col>2</xdr:col>
      <xdr:colOff>8004559</xdr:colOff>
      <xdr:row>255</xdr:row>
      <xdr:rowOff>71214</xdr:rowOff>
    </xdr:from>
    <xdr:to>
      <xdr:col>5</xdr:col>
      <xdr:colOff>0</xdr:colOff>
      <xdr:row>258</xdr:row>
      <xdr:rowOff>329101</xdr:rowOff>
    </xdr:to>
    <xdr:grpSp>
      <xdr:nvGrpSpPr>
        <xdr:cNvPr id="28" name="Group 27">
          <a:extLst>
            <a:ext uri="{FF2B5EF4-FFF2-40B4-BE49-F238E27FC236}">
              <a16:creationId xmlns:a16="http://schemas.microsoft.com/office/drawing/2014/main" id="{850FF7A5-9F99-4C60-839F-D8109E979B86}"/>
            </a:ext>
          </a:extLst>
        </xdr:cNvPr>
        <xdr:cNvGrpSpPr/>
      </xdr:nvGrpSpPr>
      <xdr:grpSpPr>
        <a:xfrm>
          <a:off x="9080884" y="56954514"/>
          <a:ext cx="1044191" cy="772237"/>
          <a:chOff x="10180320" y="17586960"/>
          <a:chExt cx="1822430" cy="1295400"/>
        </a:xfrm>
      </xdr:grpSpPr>
      <xdr:sp macro="" textlink="">
        <xdr:nvSpPr>
          <xdr:cNvPr id="29" name="Arrow: Right 28">
            <a:extLst>
              <a:ext uri="{FF2B5EF4-FFF2-40B4-BE49-F238E27FC236}">
                <a16:creationId xmlns:a16="http://schemas.microsoft.com/office/drawing/2014/main" id="{040B2785-2FE2-4CF4-8388-CBCCBE0379FF}"/>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TextBox 29">
            <a:hlinkClick xmlns:r="http://schemas.openxmlformats.org/officeDocument/2006/relationships" r:id="rId4"/>
            <a:extLst>
              <a:ext uri="{FF2B5EF4-FFF2-40B4-BE49-F238E27FC236}">
                <a16:creationId xmlns:a16="http://schemas.microsoft.com/office/drawing/2014/main" id="{6478F8A7-5B3B-45FA-B0B3-CC3CE08E3434}"/>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twoCellAnchor editAs="oneCell">
    <xdr:from>
      <xdr:col>2</xdr:col>
      <xdr:colOff>8004558</xdr:colOff>
      <xdr:row>175</xdr:row>
      <xdr:rowOff>128187</xdr:rowOff>
    </xdr:from>
    <xdr:to>
      <xdr:col>4</xdr:col>
      <xdr:colOff>852110</xdr:colOff>
      <xdr:row>179</xdr:row>
      <xdr:rowOff>244038</xdr:rowOff>
    </xdr:to>
    <xdr:grpSp>
      <xdr:nvGrpSpPr>
        <xdr:cNvPr id="77" name="Group 76">
          <a:extLst>
            <a:ext uri="{FF2B5EF4-FFF2-40B4-BE49-F238E27FC236}">
              <a16:creationId xmlns:a16="http://schemas.microsoft.com/office/drawing/2014/main" id="{2A464E3F-A381-4C5E-8D6C-2797A8D8AC6D}"/>
            </a:ext>
          </a:extLst>
        </xdr:cNvPr>
        <xdr:cNvGrpSpPr/>
      </xdr:nvGrpSpPr>
      <xdr:grpSpPr>
        <a:xfrm>
          <a:off x="9080883" y="37085187"/>
          <a:ext cx="972377" cy="801651"/>
          <a:chOff x="10180320" y="17586960"/>
          <a:chExt cx="1653748" cy="1295400"/>
        </a:xfrm>
      </xdr:grpSpPr>
      <xdr:sp macro="" textlink="">
        <xdr:nvSpPr>
          <xdr:cNvPr id="78" name="Arrow: Right 77">
            <a:extLst>
              <a:ext uri="{FF2B5EF4-FFF2-40B4-BE49-F238E27FC236}">
                <a16:creationId xmlns:a16="http://schemas.microsoft.com/office/drawing/2014/main" id="{C19BCE2E-AABF-4B4C-8781-486179D2B3C5}"/>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9" name="TextBox 78">
            <a:hlinkClick xmlns:r="http://schemas.openxmlformats.org/officeDocument/2006/relationships" r:id="rId5"/>
            <a:extLst>
              <a:ext uri="{FF2B5EF4-FFF2-40B4-BE49-F238E27FC236}">
                <a16:creationId xmlns:a16="http://schemas.microsoft.com/office/drawing/2014/main" id="{469298EF-75F8-4A43-95C7-515494E3FD5B}"/>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Occurrence Worksheet</a:t>
            </a:r>
          </a:p>
        </xdr:txBody>
      </xdr:sp>
    </xdr:grpSp>
    <xdr:clientData/>
  </xdr:twoCellAnchor>
  <xdr:twoCellAnchor editAs="oneCell">
    <xdr:from>
      <xdr:col>2</xdr:col>
      <xdr:colOff>7997440</xdr:colOff>
      <xdr:row>187</xdr:row>
      <xdr:rowOff>106822</xdr:rowOff>
    </xdr:from>
    <xdr:to>
      <xdr:col>4</xdr:col>
      <xdr:colOff>901963</xdr:colOff>
      <xdr:row>187</xdr:row>
      <xdr:rowOff>889363</xdr:rowOff>
    </xdr:to>
    <xdr:grpSp>
      <xdr:nvGrpSpPr>
        <xdr:cNvPr id="86" name="Group 85">
          <a:extLst>
            <a:ext uri="{FF2B5EF4-FFF2-40B4-BE49-F238E27FC236}">
              <a16:creationId xmlns:a16="http://schemas.microsoft.com/office/drawing/2014/main" id="{198B0599-DF04-4D06-B169-C4B331E2A481}"/>
            </a:ext>
          </a:extLst>
        </xdr:cNvPr>
        <xdr:cNvGrpSpPr/>
      </xdr:nvGrpSpPr>
      <xdr:grpSpPr>
        <a:xfrm>
          <a:off x="9073765" y="39740347"/>
          <a:ext cx="1029348" cy="782541"/>
          <a:chOff x="10180320" y="17586960"/>
          <a:chExt cx="1647085" cy="1295400"/>
        </a:xfrm>
      </xdr:grpSpPr>
      <xdr:sp macro="" textlink="">
        <xdr:nvSpPr>
          <xdr:cNvPr id="87" name="Arrow: Right 86">
            <a:extLst>
              <a:ext uri="{FF2B5EF4-FFF2-40B4-BE49-F238E27FC236}">
                <a16:creationId xmlns:a16="http://schemas.microsoft.com/office/drawing/2014/main" id="{6D3C5DAB-946A-4FB2-B0F0-07F5AD4A3620}"/>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8" name="TextBox 87">
            <a:hlinkClick xmlns:r="http://schemas.openxmlformats.org/officeDocument/2006/relationships" r:id="rId5"/>
            <a:extLst>
              <a:ext uri="{FF2B5EF4-FFF2-40B4-BE49-F238E27FC236}">
                <a16:creationId xmlns:a16="http://schemas.microsoft.com/office/drawing/2014/main" id="{66784CCB-C45B-4DCB-905B-678C2AA5A221}"/>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4</xdr:col>
      <xdr:colOff>0</xdr:colOff>
      <xdr:row>201</xdr:row>
      <xdr:rowOff>0</xdr:rowOff>
    </xdr:from>
    <xdr:to>
      <xdr:col>5</xdr:col>
      <xdr:colOff>104354</xdr:colOff>
      <xdr:row>203</xdr:row>
      <xdr:rowOff>426466</xdr:rowOff>
    </xdr:to>
    <xdr:grpSp>
      <xdr:nvGrpSpPr>
        <xdr:cNvPr id="89" name="Group 88">
          <a:extLst>
            <a:ext uri="{FF2B5EF4-FFF2-40B4-BE49-F238E27FC236}">
              <a16:creationId xmlns:a16="http://schemas.microsoft.com/office/drawing/2014/main" id="{F7E08511-9521-40F7-8D3E-39588ABB8C8E}"/>
            </a:ext>
          </a:extLst>
        </xdr:cNvPr>
        <xdr:cNvGrpSpPr/>
      </xdr:nvGrpSpPr>
      <xdr:grpSpPr>
        <a:xfrm>
          <a:off x="9201150" y="44138850"/>
          <a:ext cx="1028279" cy="769366"/>
          <a:chOff x="10180320" y="17586960"/>
          <a:chExt cx="1647085" cy="1295400"/>
        </a:xfrm>
      </xdr:grpSpPr>
      <xdr:sp macro="" textlink="">
        <xdr:nvSpPr>
          <xdr:cNvPr id="90" name="Arrow: Right 89">
            <a:extLst>
              <a:ext uri="{FF2B5EF4-FFF2-40B4-BE49-F238E27FC236}">
                <a16:creationId xmlns:a16="http://schemas.microsoft.com/office/drawing/2014/main" id="{92C3A4D9-5727-4F30-854E-B8B89D63F13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1" name="TextBox 90">
            <a:hlinkClick xmlns:r="http://schemas.openxmlformats.org/officeDocument/2006/relationships" r:id="rId5"/>
            <a:extLst>
              <a:ext uri="{FF2B5EF4-FFF2-40B4-BE49-F238E27FC236}">
                <a16:creationId xmlns:a16="http://schemas.microsoft.com/office/drawing/2014/main" id="{D2750717-1797-46A8-BA01-D6AA49A01C81}"/>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4</xdr:col>
      <xdr:colOff>0</xdr:colOff>
      <xdr:row>212</xdr:row>
      <xdr:rowOff>0</xdr:rowOff>
    </xdr:from>
    <xdr:to>
      <xdr:col>5</xdr:col>
      <xdr:colOff>104354</xdr:colOff>
      <xdr:row>215</xdr:row>
      <xdr:rowOff>248429</xdr:rowOff>
    </xdr:to>
    <xdr:grpSp>
      <xdr:nvGrpSpPr>
        <xdr:cNvPr id="92" name="Group 91">
          <a:extLst>
            <a:ext uri="{FF2B5EF4-FFF2-40B4-BE49-F238E27FC236}">
              <a16:creationId xmlns:a16="http://schemas.microsoft.com/office/drawing/2014/main" id="{0EC5B9AF-BD39-4D90-A216-64B82671C881}"/>
            </a:ext>
          </a:extLst>
        </xdr:cNvPr>
        <xdr:cNvGrpSpPr/>
      </xdr:nvGrpSpPr>
      <xdr:grpSpPr>
        <a:xfrm>
          <a:off x="9201150" y="47834550"/>
          <a:ext cx="1028279" cy="762779"/>
          <a:chOff x="10180320" y="17586960"/>
          <a:chExt cx="1647085" cy="1295400"/>
        </a:xfrm>
      </xdr:grpSpPr>
      <xdr:sp macro="" textlink="">
        <xdr:nvSpPr>
          <xdr:cNvPr id="93" name="Arrow: Right 92">
            <a:extLst>
              <a:ext uri="{FF2B5EF4-FFF2-40B4-BE49-F238E27FC236}">
                <a16:creationId xmlns:a16="http://schemas.microsoft.com/office/drawing/2014/main" id="{866D05D0-3915-4628-8E53-2F76DD9D0871}"/>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4" name="TextBox 93">
            <a:hlinkClick xmlns:r="http://schemas.openxmlformats.org/officeDocument/2006/relationships" r:id="rId5"/>
            <a:extLst>
              <a:ext uri="{FF2B5EF4-FFF2-40B4-BE49-F238E27FC236}">
                <a16:creationId xmlns:a16="http://schemas.microsoft.com/office/drawing/2014/main" id="{FB21DF6F-32E1-4149-976E-201803B8F707}"/>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3</xdr:col>
      <xdr:colOff>85458</xdr:colOff>
      <xdr:row>219</xdr:row>
      <xdr:rowOff>591085</xdr:rowOff>
    </xdr:from>
    <xdr:to>
      <xdr:col>5</xdr:col>
      <xdr:colOff>61625</xdr:colOff>
      <xdr:row>222</xdr:row>
      <xdr:rowOff>106000</xdr:rowOff>
    </xdr:to>
    <xdr:grpSp>
      <xdr:nvGrpSpPr>
        <xdr:cNvPr id="95" name="Group 94">
          <a:extLst>
            <a:ext uri="{FF2B5EF4-FFF2-40B4-BE49-F238E27FC236}">
              <a16:creationId xmlns:a16="http://schemas.microsoft.com/office/drawing/2014/main" id="{FDDF1C3B-9BB7-4FDA-8613-EE6B8560075E}"/>
            </a:ext>
          </a:extLst>
        </xdr:cNvPr>
        <xdr:cNvGrpSpPr/>
      </xdr:nvGrpSpPr>
      <xdr:grpSpPr>
        <a:xfrm>
          <a:off x="9162783" y="49797235"/>
          <a:ext cx="1023917" cy="772215"/>
          <a:chOff x="10180320" y="17586960"/>
          <a:chExt cx="1647085" cy="1295400"/>
        </a:xfrm>
      </xdr:grpSpPr>
      <xdr:sp macro="" textlink="">
        <xdr:nvSpPr>
          <xdr:cNvPr id="96" name="Arrow: Right 95">
            <a:extLst>
              <a:ext uri="{FF2B5EF4-FFF2-40B4-BE49-F238E27FC236}">
                <a16:creationId xmlns:a16="http://schemas.microsoft.com/office/drawing/2014/main" id="{BEE22347-1174-4630-A727-CF569B0A5F3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7" name="TextBox 96">
            <a:hlinkClick xmlns:r="http://schemas.openxmlformats.org/officeDocument/2006/relationships" r:id="rId5"/>
            <a:extLst>
              <a:ext uri="{FF2B5EF4-FFF2-40B4-BE49-F238E27FC236}">
                <a16:creationId xmlns:a16="http://schemas.microsoft.com/office/drawing/2014/main" id="{6C016F91-11D3-4C52-A8F0-BCF433F725BC}"/>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4</xdr:col>
      <xdr:colOff>0</xdr:colOff>
      <xdr:row>227</xdr:row>
      <xdr:rowOff>0</xdr:rowOff>
    </xdr:from>
    <xdr:to>
      <xdr:col>5</xdr:col>
      <xdr:colOff>104354</xdr:colOff>
      <xdr:row>228</xdr:row>
      <xdr:rowOff>70392</xdr:rowOff>
    </xdr:to>
    <xdr:grpSp>
      <xdr:nvGrpSpPr>
        <xdr:cNvPr id="98" name="Group 97">
          <a:extLst>
            <a:ext uri="{FF2B5EF4-FFF2-40B4-BE49-F238E27FC236}">
              <a16:creationId xmlns:a16="http://schemas.microsoft.com/office/drawing/2014/main" id="{142E9CCF-EE35-40E7-A022-32944BD38116}"/>
            </a:ext>
          </a:extLst>
        </xdr:cNvPr>
        <xdr:cNvGrpSpPr/>
      </xdr:nvGrpSpPr>
      <xdr:grpSpPr>
        <a:xfrm>
          <a:off x="9201150" y="51549300"/>
          <a:ext cx="1028279" cy="775242"/>
          <a:chOff x="10180320" y="17586960"/>
          <a:chExt cx="1647085" cy="1295400"/>
        </a:xfrm>
      </xdr:grpSpPr>
      <xdr:sp macro="" textlink="">
        <xdr:nvSpPr>
          <xdr:cNvPr id="99" name="Arrow: Right 98">
            <a:extLst>
              <a:ext uri="{FF2B5EF4-FFF2-40B4-BE49-F238E27FC236}">
                <a16:creationId xmlns:a16="http://schemas.microsoft.com/office/drawing/2014/main" id="{BA55409E-4AAE-4C08-8D5E-4CF8778BBAC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0" name="TextBox 99">
            <a:hlinkClick xmlns:r="http://schemas.openxmlformats.org/officeDocument/2006/relationships" r:id="rId5"/>
            <a:extLst>
              <a:ext uri="{FF2B5EF4-FFF2-40B4-BE49-F238E27FC236}">
                <a16:creationId xmlns:a16="http://schemas.microsoft.com/office/drawing/2014/main" id="{AFD8B610-7BBF-4B44-8410-EC03C70180B0}"/>
              </a:ext>
            </a:extLst>
          </xdr:cNvPr>
          <xdr:cNvSpPr txBox="1"/>
        </xdr:nvSpPr>
        <xdr:spPr>
          <a:xfrm>
            <a:off x="10349126" y="17832691"/>
            <a:ext cx="1478279"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a:t>
            </a:r>
            <a:r>
              <a:rPr lang="en-AU" sz="900" b="0" i="0" baseline="0">
                <a:solidFill>
                  <a:srgbClr val="0070C0"/>
                </a:solidFill>
                <a:latin typeface="Arial" panose="020B0604020202020204" pitchFamily="34" charset="0"/>
                <a:cs typeface="Arial" panose="020B0604020202020204" pitchFamily="34" charset="0"/>
              </a:rPr>
              <a:t> Occurrence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3</xdr:col>
      <xdr:colOff>35608</xdr:colOff>
      <xdr:row>262</xdr:row>
      <xdr:rowOff>569720</xdr:rowOff>
    </xdr:from>
    <xdr:to>
      <xdr:col>5</xdr:col>
      <xdr:colOff>56974</xdr:colOff>
      <xdr:row>263</xdr:row>
      <xdr:rowOff>136821</xdr:rowOff>
    </xdr:to>
    <xdr:grpSp>
      <xdr:nvGrpSpPr>
        <xdr:cNvPr id="101" name="Group 100">
          <a:extLst>
            <a:ext uri="{FF2B5EF4-FFF2-40B4-BE49-F238E27FC236}">
              <a16:creationId xmlns:a16="http://schemas.microsoft.com/office/drawing/2014/main" id="{9D3A1B62-FEF5-4F03-8CAB-3A11FC6E5396}"/>
            </a:ext>
          </a:extLst>
        </xdr:cNvPr>
        <xdr:cNvGrpSpPr/>
      </xdr:nvGrpSpPr>
      <xdr:grpSpPr>
        <a:xfrm>
          <a:off x="9112933" y="59177045"/>
          <a:ext cx="1069116" cy="786301"/>
          <a:chOff x="10180320" y="17586960"/>
          <a:chExt cx="1822430" cy="1295400"/>
        </a:xfrm>
      </xdr:grpSpPr>
      <xdr:sp macro="" textlink="">
        <xdr:nvSpPr>
          <xdr:cNvPr id="102" name="Arrow: Right 101">
            <a:extLst>
              <a:ext uri="{FF2B5EF4-FFF2-40B4-BE49-F238E27FC236}">
                <a16:creationId xmlns:a16="http://schemas.microsoft.com/office/drawing/2014/main" id="{02BD6B28-828C-468F-8F80-E8DBD4D6B26E}"/>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3" name="TextBox 102">
            <a:hlinkClick xmlns:r="http://schemas.openxmlformats.org/officeDocument/2006/relationships" r:id="rId4"/>
            <a:extLst>
              <a:ext uri="{FF2B5EF4-FFF2-40B4-BE49-F238E27FC236}">
                <a16:creationId xmlns:a16="http://schemas.microsoft.com/office/drawing/2014/main" id="{CF1C6EDA-542F-434C-8B03-AA3EE076075E}"/>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twoCellAnchor editAs="oneCell">
    <xdr:from>
      <xdr:col>4</xdr:col>
      <xdr:colOff>0</xdr:colOff>
      <xdr:row>276</xdr:row>
      <xdr:rowOff>0</xdr:rowOff>
    </xdr:from>
    <xdr:to>
      <xdr:col>5</xdr:col>
      <xdr:colOff>149553</xdr:colOff>
      <xdr:row>279</xdr:row>
      <xdr:rowOff>236523</xdr:rowOff>
    </xdr:to>
    <xdr:grpSp>
      <xdr:nvGrpSpPr>
        <xdr:cNvPr id="104" name="Group 103">
          <a:extLst>
            <a:ext uri="{FF2B5EF4-FFF2-40B4-BE49-F238E27FC236}">
              <a16:creationId xmlns:a16="http://schemas.microsoft.com/office/drawing/2014/main" id="{9E85FE42-40F2-436C-BDFA-4FF1A22DFFC0}"/>
            </a:ext>
          </a:extLst>
        </xdr:cNvPr>
        <xdr:cNvGrpSpPr/>
      </xdr:nvGrpSpPr>
      <xdr:grpSpPr>
        <a:xfrm>
          <a:off x="9201150" y="64427100"/>
          <a:ext cx="1073478" cy="769923"/>
          <a:chOff x="10180320" y="17586960"/>
          <a:chExt cx="1822430" cy="1295400"/>
        </a:xfrm>
      </xdr:grpSpPr>
      <xdr:sp macro="" textlink="">
        <xdr:nvSpPr>
          <xdr:cNvPr id="105" name="Arrow: Right 104">
            <a:extLst>
              <a:ext uri="{FF2B5EF4-FFF2-40B4-BE49-F238E27FC236}">
                <a16:creationId xmlns:a16="http://schemas.microsoft.com/office/drawing/2014/main" id="{0A0D639B-9FB4-4163-A929-4C46606F2C8B}"/>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6" name="TextBox 105">
            <a:hlinkClick xmlns:r="http://schemas.openxmlformats.org/officeDocument/2006/relationships" r:id="rId4"/>
            <a:extLst>
              <a:ext uri="{FF2B5EF4-FFF2-40B4-BE49-F238E27FC236}">
                <a16:creationId xmlns:a16="http://schemas.microsoft.com/office/drawing/2014/main" id="{51EE650F-ED00-4088-808E-D7A396671960}"/>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twoCellAnchor editAs="oneCell">
    <xdr:from>
      <xdr:col>4</xdr:col>
      <xdr:colOff>0</xdr:colOff>
      <xdr:row>289</xdr:row>
      <xdr:rowOff>0</xdr:rowOff>
    </xdr:from>
    <xdr:to>
      <xdr:col>5</xdr:col>
      <xdr:colOff>149553</xdr:colOff>
      <xdr:row>289</xdr:row>
      <xdr:rowOff>791999</xdr:rowOff>
    </xdr:to>
    <xdr:grpSp>
      <xdr:nvGrpSpPr>
        <xdr:cNvPr id="107" name="Group 106">
          <a:extLst>
            <a:ext uri="{FF2B5EF4-FFF2-40B4-BE49-F238E27FC236}">
              <a16:creationId xmlns:a16="http://schemas.microsoft.com/office/drawing/2014/main" id="{9DAECDEF-B56F-4C68-9E92-03E8F8582A2E}"/>
            </a:ext>
          </a:extLst>
        </xdr:cNvPr>
        <xdr:cNvGrpSpPr/>
      </xdr:nvGrpSpPr>
      <xdr:grpSpPr>
        <a:xfrm>
          <a:off x="9201150" y="68513325"/>
          <a:ext cx="1073478" cy="791999"/>
          <a:chOff x="10180320" y="17586960"/>
          <a:chExt cx="1822430" cy="1295400"/>
        </a:xfrm>
      </xdr:grpSpPr>
      <xdr:sp macro="" textlink="">
        <xdr:nvSpPr>
          <xdr:cNvPr id="108" name="Arrow: Right 107">
            <a:extLst>
              <a:ext uri="{FF2B5EF4-FFF2-40B4-BE49-F238E27FC236}">
                <a16:creationId xmlns:a16="http://schemas.microsoft.com/office/drawing/2014/main" id="{039758DE-CF03-42A9-BBF6-FC48BF822C5C}"/>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9" name="TextBox 108">
            <a:hlinkClick xmlns:r="http://schemas.openxmlformats.org/officeDocument/2006/relationships" r:id="rId4"/>
            <a:extLst>
              <a:ext uri="{FF2B5EF4-FFF2-40B4-BE49-F238E27FC236}">
                <a16:creationId xmlns:a16="http://schemas.microsoft.com/office/drawing/2014/main" id="{D21DB363-839F-46EE-8CE7-9595159D751C}"/>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Detection</a:t>
            </a:r>
            <a:r>
              <a:rPr lang="en-AU" sz="900" b="0" i="0" baseline="0">
                <a:solidFill>
                  <a:srgbClr val="0070C0"/>
                </a:solidFill>
                <a:latin typeface="Arial" panose="020B0604020202020204" pitchFamily="34" charset="0"/>
                <a:cs typeface="Arial" panose="020B0604020202020204" pitchFamily="34" charset="0"/>
              </a:rPr>
              <a:t> </a:t>
            </a:r>
            <a:r>
              <a:rPr lang="en-AU" sz="900" b="0" i="0">
                <a:solidFill>
                  <a:srgbClr val="0070C0"/>
                </a:solidFill>
                <a:latin typeface="Arial" panose="020B0604020202020204" pitchFamily="34" charset="0"/>
                <a:cs typeface="Arial" panose="020B0604020202020204" pitchFamily="34" charset="0"/>
              </a:rPr>
              <a:t>Worksheet</a:t>
            </a: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5</xdr:col>
      <xdr:colOff>14309</xdr:colOff>
      <xdr:row>14</xdr:row>
      <xdr:rowOff>7154</xdr:rowOff>
    </xdr:from>
    <xdr:ext cx="232535" cy="962338"/>
    <xdr:sp macro="" textlink="">
      <xdr:nvSpPr>
        <xdr:cNvPr id="2" name="TextBox 1">
          <a:extLst>
            <a:ext uri="{FF2B5EF4-FFF2-40B4-BE49-F238E27FC236}">
              <a16:creationId xmlns:a16="http://schemas.microsoft.com/office/drawing/2014/main" id="{CBBDAA20-D2A7-4994-A7B3-3FA191FF9370}"/>
            </a:ext>
          </a:extLst>
        </xdr:cNvPr>
        <xdr:cNvSpPr txBox="1"/>
      </xdr:nvSpPr>
      <xdr:spPr>
        <a:xfrm>
          <a:off x="4451001" y="2677715"/>
          <a:ext cx="232535" cy="9623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noAutofit/>
        </a:bodyPr>
        <a:lstStyle/>
        <a:p>
          <a:r>
            <a:rPr lang="en-AU" sz="1000">
              <a:latin typeface="Arial" panose="020B0604020202020204" pitchFamily="34" charset="0"/>
              <a:cs typeface="Arial" panose="020B0604020202020204" pitchFamily="34" charset="0"/>
            </a:rPr>
            <a:t>Detection</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endParaRPr lang="en-AU" sz="100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support@foodfraudadvisor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foodfraudadvisors.com/investigating-food-fraud/" TargetMode="External"/><Relationship Id="rId1" Type="http://schemas.openxmlformats.org/officeDocument/2006/relationships/hyperlink" Target="http://foodfraudadvisors.com/investigating-food-fraud/" TargetMode="External"/><Relationship Id="rId6" Type="http://schemas.openxmlformats.org/officeDocument/2006/relationships/image" Target="../media/image3.png"/><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image" Target="../media/image6.png"/></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foodfraudadvisors.com/support-and-feedback/" TargetMode="External"/><Relationship Id="rId2" Type="http://schemas.openxmlformats.org/officeDocument/2006/relationships/hyperlink" Target="http://foodfraudadvisors.com/what-next/" TargetMode="External"/><Relationship Id="rId1" Type="http://schemas.openxmlformats.org/officeDocument/2006/relationships/hyperlink" Target="http://foodfraudadvisors.com/vulnerability-assessment-faq2/"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foodfraudadvisors.com/vulnerability-assessment-faq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brcbookshop.com/p/1782/brc-global-standard-for-food-safety-issue-7-understanding-vulnerability-assessment-uk-unlocked-pdf-version" TargetMode="External"/><Relationship Id="rId1" Type="http://schemas.openxmlformats.org/officeDocument/2006/relationships/hyperlink" Target="http://www.mygfsi.com/files/Technical_Documents/201805-food-fraud-technical-document-final.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upport@foodfraudadvis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Q1004"/>
  <sheetViews>
    <sheetView showGridLines="0" showRowColHeaders="0" tabSelected="1" showRuler="0" zoomScaleNormal="100" workbookViewId="0"/>
  </sheetViews>
  <sheetFormatPr defaultColWidth="17.28515625" defaultRowHeight="15" customHeight="1"/>
  <cols>
    <col min="1" max="1" width="7.140625" customWidth="1"/>
    <col min="2" max="2" width="5" customWidth="1"/>
    <col min="3" max="12" width="8.7109375" customWidth="1"/>
  </cols>
  <sheetData>
    <row r="2" spans="2:17" ht="45.75" customHeight="1">
      <c r="B2" s="141"/>
      <c r="C2" s="142"/>
      <c r="D2" s="142"/>
      <c r="E2" s="142"/>
      <c r="F2" s="142"/>
      <c r="G2" s="142"/>
      <c r="H2" s="142"/>
      <c r="I2" s="142"/>
      <c r="J2" s="142"/>
      <c r="K2" s="142"/>
      <c r="L2" s="142"/>
      <c r="M2" s="142"/>
      <c r="N2" s="142"/>
      <c r="O2" s="142"/>
      <c r="P2" s="142"/>
      <c r="Q2" s="142"/>
    </row>
    <row r="3" spans="2:17" ht="18.600000000000001" customHeight="1">
      <c r="B3" s="143"/>
      <c r="C3" s="142"/>
      <c r="D3" s="142"/>
      <c r="E3" s="142"/>
      <c r="F3" s="142"/>
      <c r="G3" s="142"/>
      <c r="H3" s="142"/>
      <c r="I3" s="142"/>
      <c r="J3" s="142"/>
      <c r="K3" s="142"/>
      <c r="L3" s="142"/>
      <c r="M3" s="142"/>
      <c r="N3" s="142"/>
      <c r="O3" s="142"/>
      <c r="P3" s="142"/>
      <c r="Q3" s="142"/>
    </row>
    <row r="4" spans="2:17" ht="12.75" customHeight="1">
      <c r="B4" s="130"/>
    </row>
    <row r="5" spans="2:17" ht="12.75" customHeight="1">
      <c r="B5" s="130"/>
      <c r="L5" s="270"/>
      <c r="M5" s="142"/>
      <c r="N5" s="142"/>
      <c r="O5" s="142"/>
      <c r="P5" s="142"/>
      <c r="Q5" s="142"/>
    </row>
    <row r="6" spans="2:17" ht="12.75" customHeight="1">
      <c r="L6" s="322"/>
      <c r="M6" s="322"/>
      <c r="N6" s="322"/>
      <c r="O6" s="322"/>
      <c r="P6" s="322"/>
      <c r="Q6" s="322"/>
    </row>
    <row r="7" spans="2:17" ht="12.75" customHeight="1">
      <c r="L7" s="131"/>
      <c r="M7" s="131"/>
      <c r="N7" s="131"/>
      <c r="O7" s="131"/>
      <c r="P7" s="131"/>
      <c r="Q7" s="131"/>
    </row>
    <row r="8" spans="2:17" ht="12.75" customHeight="1">
      <c r="L8" s="131"/>
      <c r="M8" s="131"/>
      <c r="N8" s="131"/>
      <c r="O8" s="131"/>
      <c r="P8" s="131"/>
      <c r="Q8" s="131"/>
    </row>
    <row r="9" spans="2:17" ht="12.75" customHeight="1"/>
    <row r="10" spans="2:17" ht="12.75" customHeight="1"/>
    <row r="11" spans="2:17" ht="12.75" customHeight="1"/>
    <row r="12" spans="2:17" ht="12.75" customHeight="1"/>
    <row r="13" spans="2:17" ht="12.75" customHeight="1"/>
    <row r="14" spans="2:17" ht="12.75" customHeight="1"/>
    <row r="15" spans="2:17" ht="12.75" customHeight="1"/>
    <row r="16" spans="2:17" ht="12.75" customHeight="1"/>
    <row r="17" ht="12.75" customHeight="1"/>
    <row r="18" ht="12.75" customHeight="1"/>
    <row r="19" ht="12.75" customHeight="1"/>
    <row r="20" ht="12.75" customHeight="1"/>
    <row r="21" ht="126" customHeight="1"/>
    <row r="22" ht="45.6" customHeight="1"/>
    <row r="23" ht="25.5" customHeight="1"/>
    <row r="24" ht="12.75" customHeight="1"/>
    <row r="25" ht="12.75" customHeight="1"/>
    <row r="26" ht="12.75" customHeight="1"/>
    <row r="27" ht="12.75" customHeight="1"/>
    <row r="28" ht="12.75" customHeight="1"/>
    <row r="29" ht="12.75" customHeight="1"/>
    <row r="30" ht="58.5" customHeight="1"/>
    <row r="31" ht="31.9" customHeight="1"/>
    <row r="32" ht="45" customHeight="1"/>
    <row r="33" spans="2:17" ht="21" customHeight="1"/>
    <row r="34" spans="2:17" ht="12.75" customHeight="1"/>
    <row r="35" spans="2:17" ht="12.75" customHeight="1"/>
    <row r="36" spans="2:17" ht="12.75" customHeight="1"/>
    <row r="37" spans="2:17" ht="12.75" customHeight="1"/>
    <row r="38" spans="2:17" ht="12.75" customHeight="1"/>
    <row r="39" spans="2:17" ht="12.75" customHeight="1"/>
    <row r="40" spans="2:17" ht="12.75" customHeight="1"/>
    <row r="41" spans="2:17" ht="12.75" customHeight="1"/>
    <row r="42" spans="2:17" ht="12.75" customHeight="1"/>
    <row r="43" spans="2:17" s="52" customFormat="1" ht="19.5" customHeight="1">
      <c r="B43" s="271"/>
      <c r="C43" s="272"/>
      <c r="D43" s="272"/>
      <c r="E43" s="272"/>
      <c r="F43" s="272"/>
      <c r="G43" s="272"/>
      <c r="H43" s="272"/>
      <c r="I43" s="272"/>
      <c r="J43" s="272"/>
      <c r="L43" s="317"/>
      <c r="M43" s="317"/>
      <c r="N43" s="317"/>
      <c r="O43" s="317"/>
      <c r="P43" s="317"/>
      <c r="Q43" s="317"/>
    </row>
    <row r="44" spans="2:17" ht="17.25" customHeight="1">
      <c r="B44" s="319"/>
      <c r="C44" s="320"/>
      <c r="D44" s="320"/>
      <c r="E44" s="320"/>
      <c r="F44" s="320"/>
      <c r="G44" s="320"/>
      <c r="H44" s="320"/>
      <c r="I44" s="320"/>
      <c r="J44" s="320"/>
      <c r="L44" s="318"/>
      <c r="M44" s="318"/>
      <c r="N44" s="318"/>
      <c r="O44" s="318"/>
      <c r="P44" s="318"/>
      <c r="Q44" s="318"/>
    </row>
    <row r="45" spans="2:17" ht="12.75" customHeight="1"/>
    <row r="46" spans="2:17" ht="12.75" customHeight="1"/>
    <row r="47" spans="2:17" ht="12.75" customHeight="1"/>
    <row r="48" spans="2:17" ht="12.75" customHeight="1"/>
    <row r="49" spans="2:17" ht="12.75" customHeight="1"/>
    <row r="50" spans="2:17" ht="12.75" customHeight="1"/>
    <row r="51" spans="2:17" ht="12.75" customHeight="1"/>
    <row r="52" spans="2:17" ht="19.149999999999999" customHeight="1">
      <c r="B52" s="133"/>
      <c r="C52" s="134"/>
      <c r="D52" s="134"/>
      <c r="E52" s="135"/>
      <c r="F52" s="134"/>
      <c r="G52" s="134"/>
      <c r="H52" s="134"/>
      <c r="I52" s="134"/>
      <c r="J52" s="134"/>
      <c r="K52" s="134"/>
      <c r="L52" s="134"/>
      <c r="M52" s="134"/>
      <c r="N52" s="134"/>
      <c r="O52" s="134"/>
      <c r="P52" s="134"/>
      <c r="Q52" s="134"/>
    </row>
    <row r="53" spans="2:17" ht="12.75" customHeight="1"/>
    <row r="54" spans="2:17" ht="22.9" customHeight="1">
      <c r="B54" s="321"/>
      <c r="C54" s="321"/>
      <c r="D54" s="321"/>
      <c r="E54" s="321"/>
      <c r="F54" s="321"/>
      <c r="G54" s="321"/>
      <c r="J54" s="132"/>
    </row>
    <row r="55" spans="2:17" ht="12.75" customHeight="1"/>
    <row r="56" spans="2:17" ht="12.75" customHeight="1">
      <c r="B56" s="136" t="s">
        <v>0</v>
      </c>
    </row>
    <row r="57" spans="2:17" ht="12.75" customHeight="1"/>
    <row r="58" spans="2:17" ht="12.75" customHeight="1"/>
    <row r="59" spans="2:17" ht="12.75" customHeight="1"/>
    <row r="60" spans="2:17" ht="12.75" customHeight="1"/>
    <row r="61" spans="2:17" ht="12.75" customHeight="1"/>
    <row r="62" spans="2:17" ht="13.15"/>
    <row r="63" spans="2:17" ht="13.15"/>
    <row r="64" spans="2:17" ht="13.15"/>
    <row r="65" ht="13.15"/>
    <row r="66" ht="13.15"/>
    <row r="67" ht="13.15"/>
    <row r="68" ht="13.15"/>
    <row r="69" ht="13.15"/>
    <row r="70" ht="13.15"/>
    <row r="71" ht="13.15"/>
    <row r="72" ht="13.15"/>
    <row r="73" ht="13.15"/>
    <row r="74" ht="13.15"/>
    <row r="75" ht="13.15"/>
    <row r="76" ht="13.15"/>
    <row r="77" ht="13.15"/>
    <row r="78" ht="13.15"/>
    <row r="79" ht="13.15"/>
    <row r="80" ht="13.15"/>
    <row r="81" ht="13.15"/>
    <row r="82" ht="13.15"/>
    <row r="83" ht="13.15"/>
    <row r="84" ht="13.15"/>
    <row r="85" ht="13.15"/>
    <row r="86" ht="13.15"/>
    <row r="87" ht="13.15"/>
    <row r="88" ht="13.15"/>
    <row r="89" ht="13.15"/>
    <row r="90" ht="13.15"/>
    <row r="91" ht="13.15"/>
    <row r="92" ht="13.15"/>
    <row r="93" ht="13.15"/>
    <row r="94" ht="13.15"/>
    <row r="95" ht="13.15"/>
    <row r="96"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3.15"/>
    <row r="141" ht="13.15"/>
    <row r="142" ht="13.15"/>
    <row r="143" ht="13.15"/>
    <row r="144" ht="13.15"/>
    <row r="145" ht="13.15"/>
    <row r="146" ht="13.15"/>
    <row r="147" ht="13.15"/>
    <row r="148" ht="13.15"/>
    <row r="149" ht="13.15"/>
    <row r="150" ht="13.15"/>
    <row r="151" ht="13.15"/>
    <row r="152" ht="13.15"/>
    <row r="153" ht="13.15"/>
    <row r="154" ht="13.15"/>
    <row r="155" ht="13.15"/>
    <row r="156" ht="13.15"/>
    <row r="157" ht="13.15"/>
    <row r="158" ht="13.15"/>
    <row r="159" ht="13.15"/>
    <row r="160" ht="13.15"/>
    <row r="161" ht="13.15"/>
    <row r="162" ht="13.15"/>
    <row r="163" ht="13.15"/>
    <row r="164" ht="13.15"/>
    <row r="165" ht="13.15"/>
    <row r="166" ht="13.15"/>
    <row r="167" ht="13.15"/>
    <row r="168" ht="13.15"/>
    <row r="169" ht="13.15"/>
    <row r="170" ht="13.15"/>
    <row r="171" ht="13.15"/>
    <row r="172" ht="13.15"/>
    <row r="173" ht="13.15"/>
    <row r="174" ht="13.15"/>
    <row r="175" ht="13.15"/>
    <row r="176" ht="13.15"/>
    <row r="177" ht="13.15"/>
    <row r="178" ht="13.15"/>
    <row r="179" ht="13.15"/>
    <row r="180" ht="13.15"/>
    <row r="181" ht="13.15"/>
    <row r="182" ht="13.15"/>
    <row r="183" ht="13.15"/>
    <row r="184" ht="13.15"/>
    <row r="185" ht="13.15"/>
    <row r="186" ht="13.15"/>
    <row r="187" ht="13.15"/>
    <row r="188" ht="13.15"/>
    <row r="189" ht="13.15"/>
    <row r="190" ht="13.15"/>
    <row r="191" ht="13.15"/>
    <row r="192" ht="13.15"/>
    <row r="193" ht="13.15"/>
    <row r="194" ht="13.15"/>
    <row r="195" ht="13.15"/>
    <row r="196" ht="13.15"/>
    <row r="197" ht="13.15"/>
    <row r="198" ht="13.15"/>
    <row r="199" ht="13.15"/>
    <row r="200" ht="13.15"/>
    <row r="201" ht="13.15"/>
    <row r="202" ht="13.15"/>
    <row r="203" ht="13.15"/>
    <row r="204" ht="13.15"/>
    <row r="205" ht="13.15"/>
    <row r="206" ht="13.15"/>
    <row r="207" ht="13.15"/>
    <row r="208" ht="13.15"/>
    <row r="209" ht="13.15"/>
    <row r="210" ht="13.15"/>
    <row r="211" ht="13.15"/>
    <row r="212" ht="13.15"/>
    <row r="213" ht="13.15"/>
    <row r="214" ht="13.15"/>
    <row r="215" ht="13.15"/>
    <row r="216" ht="13.15"/>
    <row r="217" ht="13.15"/>
    <row r="218" ht="13.15"/>
    <row r="219" ht="13.15"/>
    <row r="220" ht="13.15"/>
    <row r="221" ht="13.15"/>
    <row r="222" ht="13.15"/>
    <row r="223" ht="13.15"/>
    <row r="224" ht="13.15"/>
    <row r="225" ht="13.15"/>
    <row r="226" ht="13.15"/>
    <row r="227" ht="13.15"/>
    <row r="228" ht="13.15"/>
    <row r="229" ht="13.15"/>
    <row r="230" ht="13.15"/>
    <row r="231" ht="13.15"/>
    <row r="232" ht="13.15"/>
    <row r="233" ht="13.15"/>
    <row r="234" ht="13.15"/>
    <row r="235" ht="13.15"/>
    <row r="236" ht="13.15"/>
    <row r="237" ht="13.15"/>
    <row r="238" ht="13.15"/>
    <row r="239" ht="13.15"/>
    <row r="240" ht="13.15"/>
    <row r="241" ht="13.15"/>
    <row r="242" ht="13.15"/>
    <row r="243" ht="13.15"/>
    <row r="244" ht="13.15"/>
    <row r="245" ht="13.15"/>
    <row r="246" ht="13.15"/>
    <row r="247" ht="13.15"/>
    <row r="248" ht="13.15"/>
    <row r="249" ht="13.15"/>
    <row r="250" ht="13.15"/>
    <row r="251" ht="13.15"/>
    <row r="252" ht="13.15"/>
    <row r="253" ht="13.15"/>
    <row r="254" ht="13.15"/>
    <row r="255" ht="13.15"/>
    <row r="256" ht="13.15"/>
    <row r="257" ht="13.15"/>
    <row r="258" ht="13.15"/>
    <row r="259" ht="13.15"/>
    <row r="260" ht="13.15"/>
    <row r="261" ht="13.15"/>
    <row r="262" ht="13.15"/>
    <row r="263" ht="13.15"/>
    <row r="264" ht="13.15"/>
    <row r="265" ht="13.15"/>
    <row r="266" ht="13.15"/>
    <row r="267" ht="13.15"/>
    <row r="268" ht="13.15"/>
    <row r="269" ht="13.15"/>
    <row r="270" ht="13.15"/>
    <row r="271" ht="13.15"/>
    <row r="272" ht="13.15"/>
    <row r="273" ht="13.15"/>
    <row r="274" ht="13.15"/>
    <row r="275" ht="13.15"/>
    <row r="276" ht="13.15"/>
    <row r="277" ht="13.15"/>
    <row r="278" ht="13.15"/>
    <row r="279" ht="13.15"/>
    <row r="280" ht="13.15"/>
    <row r="281" ht="13.15"/>
    <row r="282" ht="13.15"/>
    <row r="283" ht="13.15"/>
    <row r="284" ht="13.15"/>
    <row r="285" ht="13.15"/>
    <row r="286" ht="13.15"/>
    <row r="287" ht="13.15"/>
    <row r="288" ht="13.15"/>
    <row r="289" ht="13.15"/>
    <row r="290" ht="13.15"/>
    <row r="291" ht="13.15"/>
    <row r="292" ht="13.15"/>
    <row r="293" ht="13.15"/>
    <row r="294" ht="13.15"/>
    <row r="295" ht="13.15"/>
    <row r="296" ht="13.15"/>
    <row r="297" ht="13.15"/>
    <row r="298" ht="13.15"/>
    <row r="299" ht="13.15"/>
    <row r="300" ht="13.15"/>
    <row r="301" ht="13.15"/>
    <row r="302" ht="13.15"/>
    <row r="303" ht="13.15"/>
    <row r="304" ht="13.15"/>
    <row r="305" ht="13.15"/>
    <row r="306" ht="13.15"/>
    <row r="307" ht="13.15"/>
    <row r="308" ht="13.15"/>
    <row r="309" ht="13.15"/>
    <row r="310" ht="13.15"/>
    <row r="311" ht="13.15"/>
    <row r="312" ht="13.15"/>
    <row r="313" ht="13.15"/>
    <row r="314" ht="13.15"/>
    <row r="315" ht="13.15"/>
    <row r="316" ht="13.15"/>
    <row r="317" ht="13.15"/>
    <row r="318" ht="13.15"/>
    <row r="319" ht="13.15"/>
    <row r="320" ht="13.15"/>
    <row r="321" ht="13.15"/>
    <row r="322" ht="13.15"/>
    <row r="323" ht="13.15"/>
    <row r="324" ht="13.15"/>
    <row r="325" ht="13.15"/>
    <row r="326" ht="13.15"/>
    <row r="327" ht="13.15"/>
    <row r="328" ht="13.15"/>
    <row r="329" ht="13.15"/>
    <row r="330" ht="13.15"/>
    <row r="331" ht="13.15"/>
    <row r="332" ht="13.15"/>
    <row r="333" ht="13.15"/>
    <row r="334" ht="13.15"/>
    <row r="335" ht="13.15"/>
    <row r="336" ht="13.15"/>
    <row r="337" ht="13.15"/>
    <row r="338" ht="13.15"/>
    <row r="339" ht="13.15"/>
    <row r="340" ht="13.15"/>
    <row r="341" ht="13.15"/>
    <row r="342" ht="13.15"/>
    <row r="343" ht="13.15"/>
    <row r="344" ht="13.15"/>
    <row r="345" ht="13.15"/>
    <row r="346" ht="13.15"/>
    <row r="347" ht="13.15"/>
    <row r="348" ht="13.15"/>
    <row r="349" ht="13.15"/>
    <row r="350" ht="13.15"/>
    <row r="351" ht="13.15"/>
    <row r="352" ht="13.15"/>
    <row r="353" ht="13.15"/>
    <row r="354" ht="13.15"/>
    <row r="355" ht="13.15"/>
    <row r="356" ht="13.15"/>
    <row r="357" ht="13.15"/>
    <row r="358" ht="13.15"/>
    <row r="359" ht="13.15"/>
    <row r="360" ht="13.15"/>
    <row r="361" ht="13.15"/>
    <row r="362" ht="13.15"/>
    <row r="363" ht="13.15"/>
    <row r="364" ht="13.15"/>
    <row r="365" ht="13.15"/>
    <row r="366" ht="13.15"/>
    <row r="367" ht="13.15"/>
    <row r="368" ht="13.15"/>
    <row r="369" ht="13.15"/>
    <row r="370" ht="13.15"/>
    <row r="371" ht="13.15"/>
    <row r="372" ht="13.15"/>
    <row r="373" ht="13.15"/>
    <row r="374" ht="13.15"/>
    <row r="375" ht="13.15"/>
    <row r="376" ht="13.15"/>
    <row r="377" ht="13.15"/>
    <row r="378" ht="13.15"/>
    <row r="379" ht="13.15"/>
    <row r="380" ht="13.15"/>
    <row r="381" ht="13.15"/>
    <row r="382" ht="13.15"/>
    <row r="383" ht="13.15"/>
    <row r="384" ht="13.15"/>
    <row r="385" ht="13.15"/>
    <row r="386" ht="13.15"/>
    <row r="387" ht="13.15"/>
    <row r="388" ht="13.15"/>
    <row r="389" ht="13.15"/>
    <row r="390" ht="13.15"/>
    <row r="391" ht="13.15"/>
    <row r="392" ht="13.15"/>
    <row r="393" ht="13.15"/>
    <row r="394" ht="13.15"/>
    <row r="395" ht="13.15"/>
    <row r="396" ht="13.15"/>
    <row r="397" ht="13.15"/>
    <row r="398" ht="13.15"/>
    <row r="399" ht="13.15"/>
    <row r="400" ht="13.15"/>
    <row r="401" ht="13.15"/>
    <row r="402" ht="13.15"/>
    <row r="403" ht="13.15"/>
    <row r="404" ht="13.15"/>
    <row r="405" ht="13.15"/>
    <row r="406" ht="13.15"/>
    <row r="407" ht="13.15"/>
    <row r="408" ht="13.15"/>
    <row r="409" ht="13.15"/>
    <row r="410" ht="13.15"/>
    <row r="411" ht="13.15"/>
    <row r="412" ht="13.15"/>
    <row r="413" ht="13.15"/>
    <row r="414" ht="13.15"/>
    <row r="415" ht="13.15"/>
    <row r="416" ht="13.15"/>
    <row r="417" ht="13.15"/>
    <row r="418" ht="13.15"/>
    <row r="419" ht="13.15"/>
    <row r="420" ht="13.15"/>
    <row r="421" ht="13.15"/>
    <row r="422" ht="13.15"/>
    <row r="423" ht="13.15"/>
    <row r="424" ht="13.15"/>
    <row r="425" ht="13.15"/>
    <row r="426" ht="13.15"/>
    <row r="427" ht="13.15"/>
    <row r="428" ht="13.15"/>
    <row r="429" ht="13.15"/>
    <row r="430" ht="13.15"/>
    <row r="431" ht="13.15"/>
    <row r="432" ht="13.15"/>
    <row r="433" ht="13.15"/>
    <row r="434" ht="13.15"/>
    <row r="435" ht="13.15"/>
    <row r="436" ht="13.15"/>
    <row r="437" ht="13.15"/>
    <row r="438" ht="13.15"/>
    <row r="439" ht="13.15"/>
    <row r="440" ht="13.15"/>
    <row r="441" ht="13.15"/>
    <row r="442" ht="13.15"/>
    <row r="443" ht="13.15"/>
    <row r="444" ht="13.15"/>
    <row r="445" ht="13.15"/>
    <row r="446" ht="13.15"/>
    <row r="447" ht="13.15"/>
    <row r="448" ht="13.15"/>
    <row r="449" ht="13.15"/>
    <row r="450" ht="13.15"/>
    <row r="451" ht="13.15"/>
    <row r="452" ht="13.15"/>
    <row r="453" ht="13.15"/>
    <row r="454" ht="13.15"/>
    <row r="455" ht="13.15"/>
    <row r="456" ht="13.15"/>
    <row r="457" ht="13.15"/>
    <row r="458" ht="13.15"/>
    <row r="459" ht="13.15"/>
    <row r="460" ht="13.15"/>
    <row r="461" ht="13.15"/>
    <row r="462" ht="13.15"/>
    <row r="463" ht="13.15"/>
    <row r="464" ht="13.15"/>
    <row r="465" ht="13.15"/>
    <row r="466" ht="13.15"/>
    <row r="467" ht="13.15"/>
    <row r="468" ht="13.15"/>
    <row r="469" ht="13.15"/>
    <row r="470" ht="13.15"/>
    <row r="471" ht="13.15"/>
    <row r="472" ht="13.15"/>
    <row r="473" ht="13.15"/>
    <row r="474" ht="13.15"/>
    <row r="475" ht="13.15"/>
    <row r="476" ht="13.15"/>
    <row r="477" ht="13.15"/>
    <row r="478" ht="13.15"/>
    <row r="479" ht="13.15"/>
    <row r="480" ht="13.15"/>
    <row r="481" ht="13.15"/>
    <row r="482" ht="13.15"/>
    <row r="483" ht="13.15"/>
    <row r="484" ht="13.15"/>
    <row r="485" ht="13.15"/>
    <row r="486" ht="13.15"/>
    <row r="487" ht="13.15"/>
    <row r="488" ht="13.15"/>
    <row r="489" ht="13.15"/>
    <row r="490" ht="13.15"/>
    <row r="491" ht="13.15"/>
    <row r="492" ht="13.15"/>
    <row r="493" ht="13.15"/>
    <row r="494" ht="13.15"/>
    <row r="495" ht="13.15"/>
    <row r="496" ht="13.15"/>
    <row r="497" ht="13.15"/>
    <row r="498" ht="13.15"/>
    <row r="499" ht="13.15"/>
    <row r="500" ht="13.15"/>
    <row r="501" ht="13.15"/>
    <row r="502" ht="13.15"/>
    <row r="503" ht="13.15"/>
    <row r="504" ht="13.15"/>
    <row r="505" ht="13.15"/>
    <row r="506" ht="13.15"/>
    <row r="507" ht="13.15"/>
    <row r="508" ht="13.15"/>
    <row r="509" ht="13.15"/>
    <row r="510" ht="13.15"/>
    <row r="511" ht="13.15"/>
    <row r="512" ht="13.15"/>
    <row r="513" ht="13.15"/>
    <row r="514" ht="13.15"/>
    <row r="515" ht="13.15"/>
    <row r="516" ht="13.15"/>
    <row r="517" ht="13.15"/>
    <row r="518" ht="13.15"/>
    <row r="519" ht="13.15"/>
    <row r="520" ht="13.15"/>
    <row r="521" ht="13.15"/>
    <row r="522" ht="13.15"/>
    <row r="523" ht="13.15"/>
    <row r="524" ht="13.15"/>
    <row r="525" ht="13.15"/>
    <row r="526" ht="13.15"/>
    <row r="527" ht="13.15"/>
    <row r="528" ht="13.15"/>
    <row r="529" ht="13.15"/>
    <row r="530" ht="13.15"/>
    <row r="531" ht="13.15"/>
    <row r="532" ht="13.15"/>
    <row r="533" ht="13.15"/>
    <row r="534" ht="13.15"/>
    <row r="535" ht="13.15"/>
    <row r="536" ht="13.15"/>
    <row r="537" ht="13.15"/>
    <row r="538" ht="13.15"/>
    <row r="539" ht="13.15"/>
    <row r="540" ht="13.15"/>
    <row r="541" ht="13.15"/>
    <row r="542" ht="13.15"/>
    <row r="543" ht="13.15"/>
    <row r="544" ht="13.15"/>
    <row r="545" ht="13.15"/>
    <row r="546" ht="13.15"/>
    <row r="547" ht="13.15"/>
    <row r="548" ht="13.15"/>
    <row r="549" ht="13.15"/>
    <row r="550" ht="13.15"/>
    <row r="551" ht="13.15"/>
    <row r="552" ht="13.15"/>
    <row r="553" ht="13.15"/>
    <row r="554" ht="13.15"/>
    <row r="555" ht="13.15"/>
    <row r="556" ht="13.15"/>
    <row r="557" ht="13.15"/>
    <row r="558" ht="13.15"/>
    <row r="559" ht="13.15"/>
    <row r="560" ht="13.15"/>
    <row r="561" ht="13.15"/>
    <row r="562" ht="13.15"/>
    <row r="563" ht="13.15"/>
    <row r="564" ht="13.15"/>
    <row r="565" ht="13.15"/>
    <row r="566" ht="13.15"/>
    <row r="567" ht="13.15"/>
    <row r="568" ht="13.15"/>
    <row r="569" ht="13.15"/>
    <row r="570" ht="13.15"/>
    <row r="571" ht="13.15"/>
    <row r="572" ht="13.15"/>
    <row r="573" ht="13.15"/>
    <row r="574" ht="13.15"/>
    <row r="575" ht="13.15"/>
    <row r="576" ht="13.15"/>
    <row r="577" ht="13.15"/>
    <row r="578" ht="13.15"/>
    <row r="579" ht="13.15"/>
    <row r="580" ht="13.15"/>
    <row r="581" ht="13.15"/>
    <row r="582" ht="13.15"/>
    <row r="583" ht="13.15"/>
    <row r="584" ht="13.15"/>
    <row r="585" ht="13.15"/>
    <row r="586" ht="13.15"/>
    <row r="587" ht="13.15"/>
    <row r="588" ht="13.15"/>
    <row r="589" ht="13.15"/>
    <row r="590" ht="13.15"/>
    <row r="591" ht="13.15"/>
    <row r="592" ht="13.15"/>
    <row r="593" ht="13.15"/>
    <row r="594" ht="13.15"/>
    <row r="595" ht="13.15"/>
    <row r="596" ht="13.15"/>
    <row r="597" ht="13.15"/>
    <row r="598" ht="13.15"/>
    <row r="599" ht="13.15"/>
    <row r="600" ht="13.15"/>
    <row r="601" ht="13.15"/>
    <row r="602" ht="13.15"/>
    <row r="603" ht="13.15"/>
    <row r="604" ht="13.15"/>
    <row r="605" ht="13.15"/>
    <row r="606" ht="13.15"/>
    <row r="607" ht="13.15"/>
    <row r="608" ht="13.15"/>
    <row r="609" ht="13.15"/>
    <row r="610" ht="13.15"/>
    <row r="611" ht="13.15"/>
    <row r="612" ht="13.15"/>
    <row r="613" ht="13.15"/>
    <row r="614" ht="13.15"/>
    <row r="615" ht="13.15"/>
    <row r="616" ht="13.15"/>
    <row r="617" ht="13.15"/>
    <row r="618" ht="13.15"/>
    <row r="619" ht="13.15"/>
    <row r="620" ht="13.15"/>
    <row r="621" ht="13.15"/>
    <row r="622" ht="13.15"/>
    <row r="623" ht="13.15"/>
    <row r="624" ht="13.15"/>
    <row r="625" ht="13.15"/>
    <row r="626" ht="13.15"/>
    <row r="627" ht="13.15"/>
    <row r="628" ht="13.15"/>
    <row r="629" ht="13.15"/>
    <row r="630" ht="13.15"/>
    <row r="631" ht="13.15"/>
    <row r="632" ht="13.15"/>
    <row r="633" ht="13.15"/>
    <row r="634" ht="13.15"/>
    <row r="635" ht="13.15"/>
    <row r="636" ht="13.15"/>
    <row r="637" ht="13.15"/>
    <row r="638" ht="13.15"/>
    <row r="639" ht="13.15"/>
    <row r="640" ht="13.15"/>
    <row r="641" ht="13.15"/>
    <row r="642" ht="13.15"/>
    <row r="643" ht="13.15"/>
    <row r="644" ht="13.15"/>
    <row r="645" ht="13.15"/>
    <row r="646" ht="13.15"/>
    <row r="647" ht="13.15"/>
    <row r="648" ht="13.15"/>
    <row r="649" ht="13.15"/>
    <row r="650" ht="13.15"/>
    <row r="651" ht="13.15"/>
    <row r="652" ht="13.15"/>
    <row r="653" ht="13.15"/>
    <row r="654" ht="13.15"/>
    <row r="655" ht="13.15"/>
    <row r="656" ht="13.15"/>
    <row r="657" ht="13.15"/>
    <row r="658" ht="13.15"/>
    <row r="659" ht="13.15"/>
    <row r="660" ht="13.15"/>
    <row r="661" ht="13.15"/>
    <row r="662" ht="13.15"/>
    <row r="663" ht="13.15"/>
    <row r="664" ht="13.15"/>
    <row r="665" ht="13.15"/>
    <row r="666" ht="13.15"/>
    <row r="667" ht="13.15"/>
    <row r="668" ht="13.15"/>
    <row r="669" ht="13.15"/>
    <row r="670" ht="13.15"/>
    <row r="671" ht="13.15"/>
    <row r="672" ht="13.15"/>
    <row r="673" ht="13.15"/>
    <row r="674" ht="13.15"/>
    <row r="675" ht="13.15"/>
    <row r="676" ht="13.15"/>
    <row r="677" ht="13.15"/>
    <row r="678" ht="13.15"/>
    <row r="679" ht="13.15"/>
    <row r="680" ht="13.15"/>
    <row r="681" ht="13.15"/>
    <row r="682" ht="13.15"/>
    <row r="683" ht="13.15"/>
    <row r="684" ht="13.15"/>
    <row r="685" ht="13.15"/>
    <row r="686" ht="13.15"/>
    <row r="687" ht="13.15"/>
    <row r="688" ht="13.15"/>
    <row r="689" ht="13.15"/>
    <row r="690" ht="13.15"/>
    <row r="691" ht="13.15"/>
    <row r="692" ht="13.15"/>
    <row r="693" ht="13.15"/>
    <row r="694" ht="13.15"/>
    <row r="695" ht="13.15"/>
    <row r="696" ht="13.15"/>
    <row r="697" ht="13.15"/>
    <row r="698" ht="13.15"/>
    <row r="699" ht="13.15"/>
    <row r="700" ht="13.15"/>
    <row r="701" ht="13.15"/>
    <row r="702" ht="13.15"/>
    <row r="703" ht="13.15"/>
    <row r="704" ht="13.15"/>
    <row r="705" ht="13.15"/>
    <row r="706" ht="13.15"/>
    <row r="707" ht="13.15"/>
    <row r="708" ht="13.15"/>
    <row r="709" ht="13.15"/>
    <row r="710" ht="13.15"/>
    <row r="711" ht="13.15"/>
    <row r="712" ht="13.15"/>
    <row r="713" ht="13.15"/>
    <row r="714" ht="13.15"/>
    <row r="715" ht="13.15"/>
    <row r="716" ht="13.15"/>
    <row r="717" ht="13.15"/>
    <row r="718" ht="13.15"/>
    <row r="719" ht="13.15"/>
    <row r="720" ht="13.15"/>
    <row r="721" ht="13.15"/>
    <row r="722" ht="13.15"/>
    <row r="723" ht="13.15"/>
    <row r="724" ht="13.15"/>
    <row r="725" ht="13.15"/>
    <row r="726" ht="13.15"/>
    <row r="727" ht="13.15"/>
    <row r="728" ht="13.15"/>
    <row r="729" ht="13.15"/>
    <row r="730" ht="13.15"/>
    <row r="731" ht="13.15"/>
    <row r="732" ht="13.15"/>
    <row r="733" ht="13.15"/>
    <row r="734" ht="13.15"/>
    <row r="735" ht="13.15"/>
    <row r="736" ht="13.15"/>
    <row r="737" ht="13.15"/>
    <row r="738" ht="13.15"/>
    <row r="739" ht="13.15"/>
    <row r="740" ht="13.15"/>
    <row r="741" ht="13.15"/>
    <row r="742" ht="13.15"/>
    <row r="743" ht="13.15"/>
    <row r="744" ht="13.15"/>
    <row r="745" ht="13.15"/>
    <row r="746" ht="13.15"/>
    <row r="747" ht="13.15"/>
    <row r="748" ht="13.15"/>
    <row r="749" ht="13.15"/>
    <row r="750" ht="13.15"/>
    <row r="751" ht="13.15"/>
    <row r="752" ht="13.15"/>
    <row r="753" ht="13.15"/>
    <row r="754" ht="13.15"/>
    <row r="755" ht="13.15"/>
    <row r="756" ht="13.15"/>
    <row r="757" ht="13.15"/>
    <row r="758" ht="13.15"/>
    <row r="759" ht="13.15"/>
    <row r="760" ht="13.15"/>
    <row r="761" ht="13.15"/>
    <row r="762" ht="13.15"/>
    <row r="763" ht="13.15"/>
    <row r="764" ht="13.15"/>
    <row r="765" ht="13.15"/>
    <row r="766" ht="13.15"/>
    <row r="767" ht="13.15"/>
    <row r="768" ht="13.15"/>
    <row r="769" ht="13.15"/>
    <row r="770" ht="13.15"/>
    <row r="771" ht="13.15"/>
    <row r="772" ht="13.15"/>
    <row r="773" ht="13.15"/>
    <row r="774" ht="13.15"/>
    <row r="775" ht="13.15"/>
    <row r="776" ht="13.15"/>
    <row r="777" ht="13.15"/>
    <row r="778" ht="13.15"/>
    <row r="779" ht="13.15"/>
    <row r="780" ht="13.15"/>
    <row r="781" ht="13.15"/>
    <row r="782" ht="13.15"/>
    <row r="783" ht="13.15"/>
    <row r="784" ht="13.15"/>
    <row r="785" ht="13.15"/>
    <row r="786" ht="13.15"/>
    <row r="787" ht="13.15"/>
    <row r="788" ht="13.15"/>
    <row r="789" ht="13.15"/>
    <row r="790" ht="13.15"/>
    <row r="791" ht="13.15"/>
    <row r="792" ht="13.15"/>
    <row r="793" ht="13.15"/>
    <row r="794" ht="13.15"/>
    <row r="795" ht="13.15"/>
    <row r="796" ht="13.15"/>
    <row r="797" ht="13.15"/>
    <row r="798" ht="13.15"/>
    <row r="799" ht="13.15"/>
    <row r="800" ht="13.15"/>
    <row r="801" ht="13.15"/>
    <row r="802" ht="13.15"/>
    <row r="803" ht="13.15"/>
    <row r="804" ht="13.15"/>
    <row r="805" ht="13.15"/>
    <row r="806" ht="13.15"/>
    <row r="807" ht="13.15"/>
    <row r="808" ht="13.15"/>
    <row r="809" ht="13.15"/>
    <row r="810" ht="13.15"/>
    <row r="811" ht="13.15"/>
    <row r="812" ht="13.15"/>
    <row r="813" ht="13.15"/>
    <row r="814" ht="13.15"/>
    <row r="815" ht="13.15"/>
    <row r="816" ht="13.15"/>
    <row r="817" ht="13.15"/>
    <row r="818" ht="13.15"/>
    <row r="819" ht="13.15"/>
    <row r="820" ht="13.15"/>
    <row r="821" ht="13.15"/>
    <row r="822" ht="13.15"/>
    <row r="823" ht="13.15"/>
    <row r="824" ht="13.15"/>
    <row r="825" ht="13.15"/>
    <row r="826" ht="13.15"/>
    <row r="827" ht="13.15"/>
    <row r="828" ht="13.15"/>
    <row r="829" ht="13.15"/>
    <row r="830" ht="13.15"/>
    <row r="831" ht="13.15"/>
    <row r="832" ht="13.15"/>
    <row r="833" ht="13.15"/>
    <row r="834" ht="13.15"/>
    <row r="835" ht="13.15"/>
    <row r="836" ht="13.15"/>
    <row r="837" ht="13.15"/>
    <row r="838" ht="13.15"/>
    <row r="839" ht="13.15"/>
    <row r="840" ht="13.15"/>
    <row r="841" ht="13.15"/>
    <row r="842" ht="13.15"/>
    <row r="843" ht="13.15"/>
    <row r="844" ht="13.15"/>
    <row r="845" ht="13.15"/>
    <row r="846" ht="13.15"/>
    <row r="847" ht="13.15"/>
    <row r="848" ht="13.15"/>
    <row r="849" ht="13.15"/>
    <row r="850" ht="13.15"/>
    <row r="851" ht="13.15"/>
    <row r="852" ht="13.15"/>
    <row r="853" ht="13.15"/>
    <row r="854" ht="13.15"/>
    <row r="855" ht="13.15"/>
    <row r="856" ht="13.15"/>
    <row r="857" ht="13.15"/>
    <row r="858" ht="13.15"/>
    <row r="859" ht="13.15"/>
    <row r="860" ht="13.15"/>
    <row r="861" ht="13.15"/>
    <row r="862" ht="13.15"/>
    <row r="863" ht="13.15"/>
    <row r="864" ht="13.15"/>
    <row r="865" ht="13.15"/>
    <row r="866" ht="13.15"/>
    <row r="867" ht="13.15"/>
    <row r="868" ht="13.15"/>
    <row r="869" ht="13.15"/>
    <row r="870" ht="13.15"/>
    <row r="871" ht="13.15"/>
    <row r="872" ht="13.15"/>
    <row r="873" ht="13.15"/>
    <row r="874" ht="13.15"/>
    <row r="875" ht="13.15"/>
    <row r="876" ht="13.15"/>
    <row r="877" ht="13.15"/>
    <row r="878" ht="13.15"/>
    <row r="879" ht="13.15"/>
    <row r="880" ht="13.15"/>
    <row r="881" ht="13.15"/>
    <row r="882" ht="13.15"/>
    <row r="883" ht="13.15"/>
    <row r="884" ht="13.15"/>
    <row r="885" ht="13.15"/>
    <row r="886" ht="13.15"/>
    <row r="887" ht="13.15"/>
    <row r="888" ht="13.15"/>
    <row r="889" ht="13.15"/>
    <row r="890" ht="13.15"/>
    <row r="891" ht="13.15"/>
    <row r="892" ht="13.15"/>
    <row r="893" ht="13.15"/>
    <row r="894" ht="13.15"/>
    <row r="895" ht="13.15"/>
    <row r="896" ht="13.15"/>
    <row r="897" ht="13.15"/>
    <row r="898" ht="13.15"/>
    <row r="899" ht="13.15"/>
    <row r="900" ht="13.15"/>
    <row r="901" ht="13.15"/>
    <row r="902" ht="13.15"/>
    <row r="903" ht="13.15"/>
    <row r="904" ht="13.15"/>
    <row r="905" ht="13.15"/>
    <row r="906" ht="13.15"/>
    <row r="907" ht="13.15"/>
    <row r="908" ht="13.15"/>
    <row r="909" ht="13.15"/>
    <row r="910" ht="13.15"/>
    <row r="911" ht="13.15"/>
    <row r="912" ht="13.15"/>
    <row r="913" ht="13.15"/>
    <row r="914" ht="13.15"/>
    <row r="915" ht="13.15"/>
    <row r="916" ht="13.15"/>
    <row r="917" ht="13.15"/>
    <row r="918" ht="13.15"/>
    <row r="919" ht="13.15"/>
    <row r="920" ht="13.15"/>
    <row r="921" ht="13.15"/>
    <row r="922" ht="13.15"/>
    <row r="923" ht="13.15"/>
    <row r="924" ht="13.15"/>
    <row r="925" ht="13.15"/>
    <row r="926" ht="13.15"/>
    <row r="927" ht="13.15"/>
    <row r="928" ht="13.15"/>
    <row r="929" ht="13.15"/>
    <row r="930" ht="13.15"/>
    <row r="931" ht="13.15"/>
    <row r="932" ht="13.15"/>
    <row r="933" ht="13.15"/>
    <row r="934" ht="13.15"/>
    <row r="935" ht="13.15"/>
    <row r="936" ht="13.15"/>
    <row r="937" ht="13.15"/>
    <row r="938" ht="13.15"/>
    <row r="939" ht="13.15"/>
    <row r="940" ht="13.15"/>
    <row r="941" ht="13.15"/>
    <row r="942" ht="13.15"/>
    <row r="943" ht="13.15"/>
    <row r="944" ht="13.15"/>
    <row r="945" ht="13.15"/>
    <row r="946" ht="13.15"/>
    <row r="947" ht="13.15"/>
    <row r="948" ht="13.15"/>
    <row r="949" ht="13.15"/>
    <row r="950" ht="13.15"/>
    <row r="951" ht="13.15"/>
    <row r="952" ht="13.15"/>
    <row r="953" ht="13.15"/>
    <row r="954" ht="13.15"/>
    <row r="955" ht="13.15"/>
    <row r="956" ht="13.15"/>
    <row r="957" ht="13.15"/>
    <row r="958" ht="13.15"/>
    <row r="959" ht="13.15"/>
    <row r="960" ht="13.15"/>
    <row r="961" ht="13.15"/>
    <row r="962" ht="13.15"/>
    <row r="963" ht="13.15"/>
    <row r="964" ht="13.15"/>
    <row r="965" ht="13.15"/>
    <row r="966" ht="13.15"/>
    <row r="967" ht="13.15"/>
    <row r="968" ht="13.15"/>
    <row r="969" ht="13.15"/>
    <row r="970" ht="13.15"/>
    <row r="971" ht="13.15"/>
    <row r="972" ht="13.15"/>
    <row r="973" ht="13.15"/>
    <row r="974" ht="13.15"/>
    <row r="975" ht="13.15"/>
    <row r="976" ht="13.15"/>
    <row r="977" ht="13.15"/>
    <row r="978" ht="13.15"/>
    <row r="979" ht="13.15"/>
    <row r="980" ht="13.15"/>
    <row r="981" ht="13.15"/>
    <row r="982" ht="13.15"/>
    <row r="983" ht="13.15"/>
    <row r="984" ht="13.15"/>
    <row r="985" ht="13.15"/>
    <row r="986" ht="13.15"/>
    <row r="987" ht="13.15"/>
    <row r="988" ht="13.15"/>
    <row r="989" ht="13.15"/>
    <row r="990" ht="13.15"/>
    <row r="991" ht="13.15"/>
    <row r="992" ht="13.15"/>
    <row r="993" ht="13.15"/>
    <row r="994" ht="13.15"/>
    <row r="995" ht="13.15"/>
    <row r="996" ht="13.15"/>
    <row r="997" ht="13.15"/>
    <row r="998" ht="13.15"/>
    <row r="999" ht="13.15"/>
    <row r="1000" ht="13.15"/>
    <row r="1001" ht="13.15"/>
    <row r="1002" ht="13.15"/>
    <row r="1003" ht="13.15"/>
    <row r="1004" ht="13.15"/>
  </sheetData>
  <sheetProtection algorithmName="SHA-512" hashValue="qJBESByDFAP2Ru1cQ7/upLD3SY7ia49BDmud1Clbd5jL/qmvgq3F+vJ4LQRAHlXTYJN96vsu6lC1M91hiTIPkg==" saltValue="Kx80U1huzSiw2PANAGyKzg==" spinCount="100000" sheet="1" objects="1" scenarios="1"/>
  <mergeCells count="5">
    <mergeCell ref="L43:Q43"/>
    <mergeCell ref="L44:Q44"/>
    <mergeCell ref="B44:J44"/>
    <mergeCell ref="B54:G54"/>
    <mergeCell ref="L6:Q6"/>
  </mergeCells>
  <pageMargins left="0.25" right="0.25" top="0.75" bottom="0.75" header="0.3" footer="0.3"/>
  <pageSetup scale="4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V1002"/>
  <sheetViews>
    <sheetView zoomScale="107" zoomScaleNormal="107" workbookViewId="0">
      <selection activeCell="A2" sqref="A2"/>
    </sheetView>
  </sheetViews>
  <sheetFormatPr defaultColWidth="17.28515625" defaultRowHeight="15" customHeight="1"/>
  <cols>
    <col min="1" max="1" width="6.5703125" style="4" customWidth="1"/>
    <col min="2" max="4" width="14.42578125" style="4" customWidth="1"/>
    <col min="5" max="5" width="14.85546875" style="4" customWidth="1"/>
    <col min="6" max="6" width="1.28515625" style="4" customWidth="1"/>
    <col min="7" max="12" width="2.85546875" style="4" customWidth="1"/>
    <col min="13" max="13" width="1.140625" style="4" customWidth="1"/>
    <col min="14" max="14" width="14.42578125" style="4" customWidth="1"/>
    <col min="15" max="15" width="16.42578125" style="4" customWidth="1"/>
    <col min="16" max="16" width="2.42578125" style="4" customWidth="1"/>
    <col min="17" max="17" width="2.140625" style="4" customWidth="1"/>
    <col min="18" max="19" width="5.5703125" style="4" customWidth="1"/>
    <col min="20" max="20" width="2.7109375" style="4" customWidth="1"/>
    <col min="21" max="23" width="14.42578125" style="4" customWidth="1"/>
    <col min="24" max="16384" width="17.28515625" style="4"/>
  </cols>
  <sheetData>
    <row r="1" spans="1:13" ht="15.75" customHeight="1">
      <c r="A1" s="4" t="s">
        <v>271</v>
      </c>
    </row>
    <row r="2" spans="1:13" ht="15.75" customHeight="1">
      <c r="A2" s="304" t="s">
        <v>272</v>
      </c>
    </row>
    <row r="3" spans="1:13" ht="15.75" customHeight="1">
      <c r="A3" s="251" t="s">
        <v>273</v>
      </c>
    </row>
    <row r="4" spans="1:13" ht="15.75" customHeight="1"/>
    <row r="5" spans="1:13" ht="15.75" customHeight="1"/>
    <row r="6" spans="1:13" ht="15.75" customHeight="1"/>
    <row r="7" spans="1:13" ht="15.75" customHeight="1"/>
    <row r="8" spans="1:13" ht="15.75" customHeight="1"/>
    <row r="9" spans="1:13" ht="15.75" customHeight="1"/>
    <row r="10" spans="1:13" ht="15.75" customHeight="1"/>
    <row r="11" spans="1:13" ht="15.75" customHeight="1"/>
    <row r="12" spans="1:13" ht="15.75" customHeight="1"/>
    <row r="13" spans="1:13" ht="6" customHeight="1" thickBot="1">
      <c r="F13" s="1"/>
      <c r="H13" s="204"/>
      <c r="I13" s="204"/>
      <c r="J13" s="204"/>
      <c r="K13" s="204"/>
      <c r="L13" s="204"/>
      <c r="M13" s="1"/>
    </row>
    <row r="14" spans="1:13" ht="15.75" customHeight="1">
      <c r="F14" s="215"/>
      <c r="G14" s="213"/>
      <c r="H14" s="213" t="s">
        <v>292</v>
      </c>
      <c r="I14" s="213"/>
      <c r="J14" s="213"/>
      <c r="K14" s="213"/>
      <c r="L14" s="213"/>
      <c r="M14" s="216"/>
    </row>
    <row r="15" spans="1:13" ht="15.75" customHeight="1">
      <c r="F15" s="217"/>
      <c r="G15" s="218"/>
      <c r="H15" s="27" t="str">
        <f>IF(AND($H$25=1,$H$29=1),"X","")</f>
        <v/>
      </c>
      <c r="I15" s="27" t="str">
        <f>IF(AND($H$25=2,$H$29=1),"X","")</f>
        <v/>
      </c>
      <c r="J15" s="27" t="str">
        <f>IF(AND($H$25=3,$H$29=1),"X","")</f>
        <v/>
      </c>
      <c r="K15" s="28" t="str">
        <f>IF(AND($H$25=4,$H$29=1),"X","")</f>
        <v/>
      </c>
      <c r="L15" s="29" t="str">
        <f>IF(AND($H$25=5,$H$29=1),"X","")</f>
        <v/>
      </c>
      <c r="M15" s="219"/>
    </row>
    <row r="16" spans="1:13" ht="15.75" customHeight="1">
      <c r="F16" s="217"/>
      <c r="G16" s="218"/>
      <c r="H16" s="27" t="str">
        <f>IF(AND($H$25=1,$H$29=2),"X","")</f>
        <v/>
      </c>
      <c r="I16" s="27" t="str">
        <f>IF(AND($H$25=2,$H$29=2),"X","")</f>
        <v/>
      </c>
      <c r="J16" s="28" t="str">
        <f>IF(AND($H$25=3,$H$29=2),"X","")</f>
        <v/>
      </c>
      <c r="K16" s="29" t="str">
        <f>IF(AND($H$25=4,$H$29=2),"X","")</f>
        <v/>
      </c>
      <c r="L16" s="30" t="str">
        <f>IF(AND($H$25=5,$H$29=2),"X","")</f>
        <v/>
      </c>
      <c r="M16" s="219"/>
    </row>
    <row r="17" spans="5:21" ht="15.75" customHeight="1">
      <c r="F17" s="217"/>
      <c r="G17" s="218"/>
      <c r="H17" s="27" t="str">
        <f>IF(AND($H$25=1,$H$29=3),"X","")</f>
        <v/>
      </c>
      <c r="I17" s="28" t="str">
        <f>IF(AND($H$25=2,$H$29=3),"X","")</f>
        <v/>
      </c>
      <c r="J17" s="28" t="str">
        <f>IF(AND($H$25=3,$H$29=3),"X","")</f>
        <v/>
      </c>
      <c r="K17" s="30" t="str">
        <f>IF(AND($H$25=4,$H$29=3),"X","")</f>
        <v/>
      </c>
      <c r="L17" s="30" t="str">
        <f>IF(AND($H$25=5,$H$29=3),"X","")</f>
        <v/>
      </c>
      <c r="M17" s="219"/>
    </row>
    <row r="18" spans="5:21" ht="15.75" customHeight="1">
      <c r="F18" s="217"/>
      <c r="G18" s="218"/>
      <c r="H18" s="28" t="str">
        <f>IF(AND($H$25=1,$H$29=4),"X","")</f>
        <v/>
      </c>
      <c r="I18" s="28" t="str">
        <f>IF(AND($H$25=2,$H$29=4),"X","")</f>
        <v/>
      </c>
      <c r="J18" s="31" t="str">
        <f>IF(AND($H$25=3,$H$29=4),"X","")</f>
        <v/>
      </c>
      <c r="K18" s="30" t="str">
        <f>IF(AND($H$25=4,$H$29=4),"X","")</f>
        <v/>
      </c>
      <c r="L18" s="30" t="str">
        <f>IF(AND($H$25=5,$H$29=4),"X","")</f>
        <v/>
      </c>
      <c r="M18" s="219"/>
    </row>
    <row r="19" spans="5:21" ht="15.75" customHeight="1">
      <c r="F19" s="217"/>
      <c r="G19" s="218"/>
      <c r="H19" s="28" t="str">
        <f>IF(AND($H$25=1,$H$29=5),"X","")</f>
        <v/>
      </c>
      <c r="I19" s="31" t="str">
        <f>IF(AND($H$25=2,$H$29=5),"X","")</f>
        <v/>
      </c>
      <c r="J19" s="31" t="str">
        <f>IF(AND($H$25=3,$H$29=5),"X","")</f>
        <v/>
      </c>
      <c r="K19" s="30" t="str">
        <f>IF(AND($H$25=4,$H$29=5),"X","")</f>
        <v/>
      </c>
      <c r="L19" s="30" t="str">
        <f>IF(AND($H$25=5,$H$29=5),"X","")</f>
        <v>X</v>
      </c>
      <c r="M19" s="219"/>
    </row>
    <row r="20" spans="5:21" ht="5.45" customHeight="1" thickBot="1">
      <c r="F20" s="214"/>
      <c r="G20" s="220"/>
      <c r="H20" s="220"/>
      <c r="I20" s="220"/>
      <c r="J20" s="220"/>
      <c r="K20" s="220"/>
      <c r="L20" s="220"/>
      <c r="M20" s="221"/>
    </row>
    <row r="21" spans="5:21" ht="15.75" customHeight="1"/>
    <row r="22" spans="5:21" ht="12.75" customHeight="1">
      <c r="E22" s="297"/>
      <c r="F22" s="306"/>
      <c r="G22" s="307" t="s">
        <v>277</v>
      </c>
      <c r="H22" s="297"/>
      <c r="I22" s="297"/>
      <c r="J22" s="297"/>
      <c r="K22" s="297"/>
      <c r="L22" s="297"/>
      <c r="M22" s="297"/>
      <c r="N22" s="297"/>
    </row>
    <row r="23" spans="5:21" ht="12.75" customHeight="1">
      <c r="E23" s="297"/>
      <c r="F23" s="306"/>
      <c r="G23" s="297" t="s">
        <v>278</v>
      </c>
      <c r="H23" s="308" t="s">
        <v>293</v>
      </c>
      <c r="I23" s="297"/>
      <c r="J23" s="297"/>
      <c r="K23" s="297"/>
      <c r="L23" s="297"/>
      <c r="M23" s="297"/>
      <c r="N23" s="297"/>
    </row>
    <row r="24" spans="5:21" ht="12.75" customHeight="1">
      <c r="E24" s="297"/>
      <c r="F24" s="306" t="s">
        <v>280</v>
      </c>
      <c r="G24" s="297" t="s">
        <v>281</v>
      </c>
      <c r="H24" s="308"/>
      <c r="I24" s="308" t="str">
        <f>'Occurrence worksheet'!G27</f>
        <v>Very likely/certain</v>
      </c>
      <c r="J24" s="297"/>
      <c r="K24" s="297"/>
      <c r="L24" s="297"/>
      <c r="M24" s="297"/>
      <c r="N24" s="297"/>
    </row>
    <row r="25" spans="5:21" ht="12.75" customHeight="1">
      <c r="E25" s="297"/>
      <c r="F25" s="306"/>
      <c r="G25" s="297" t="s">
        <v>282</v>
      </c>
      <c r="H25" s="308">
        <f>IF(I24="Very unlikely",1,IF(I24="Unlikely",2,IF(I24="Fairly likely",3,IF(I24="Likely",4,IF(I24="Very likely/certain",5,"ERROR")))))</f>
        <v>5</v>
      </c>
      <c r="I25" s="297"/>
      <c r="J25" s="297"/>
      <c r="K25" s="297"/>
      <c r="L25" s="297"/>
      <c r="M25" s="297"/>
      <c r="N25" s="297"/>
    </row>
    <row r="26" spans="5:21" ht="12.75" customHeight="1">
      <c r="E26" s="297"/>
      <c r="F26" s="306"/>
      <c r="G26" s="307" t="s">
        <v>283</v>
      </c>
      <c r="H26" s="297"/>
      <c r="I26" s="297"/>
      <c r="J26" s="297"/>
      <c r="K26" s="297"/>
      <c r="L26" s="297"/>
      <c r="M26" s="297"/>
      <c r="N26" s="297"/>
    </row>
    <row r="27" spans="5:21" ht="13.15">
      <c r="E27" s="297"/>
      <c r="F27" s="306"/>
      <c r="G27" s="297" t="s">
        <v>278</v>
      </c>
      <c r="H27" s="308" t="s">
        <v>284</v>
      </c>
      <c r="I27" s="297"/>
      <c r="J27" s="297"/>
      <c r="K27" s="297"/>
      <c r="L27" s="297"/>
      <c r="M27" s="297"/>
      <c r="N27" s="297"/>
    </row>
    <row r="28" spans="5:21" ht="13.15">
      <c r="E28" s="297"/>
      <c r="F28" s="306" t="s">
        <v>285</v>
      </c>
      <c r="G28" s="297" t="s">
        <v>281</v>
      </c>
      <c r="H28" s="297" t="str">
        <f>'Detection worksheet'!G24</f>
        <v>Very unlikely to be detected</v>
      </c>
      <c r="I28" s="297"/>
      <c r="J28" s="297"/>
      <c r="K28" s="297"/>
      <c r="L28" s="297"/>
      <c r="M28" s="297"/>
      <c r="N28" s="297"/>
    </row>
    <row r="29" spans="5:21" ht="13.15">
      <c r="E29" s="297"/>
      <c r="F29" s="306"/>
      <c r="G29" s="297" t="s">
        <v>282</v>
      </c>
      <c r="H29" s="310">
        <f>IF(H28="Very likely/certain to be detected",1,IF(H28="Likely to be detected",2,IF(H28="Fairly likely to be detected",3,IF(H28="Unlikely to be detected",4,IF(H28="Very unlikely to be detected",5,"ERROR")))))</f>
        <v>5</v>
      </c>
      <c r="I29" s="297"/>
      <c r="J29" s="297"/>
      <c r="K29" s="297"/>
      <c r="L29" s="297"/>
      <c r="M29" s="297"/>
      <c r="N29" s="297"/>
    </row>
    <row r="30" spans="5:21" ht="13.15">
      <c r="F30" s="209"/>
      <c r="G30" s="206"/>
      <c r="H30" s="208"/>
    </row>
    <row r="31" spans="5:21" ht="13.15">
      <c r="F31" s="205"/>
      <c r="G31" s="210"/>
      <c r="H31" s="211"/>
      <c r="P31" s="1"/>
      <c r="Q31" s="1"/>
      <c r="R31" s="1"/>
      <c r="S31" s="1"/>
      <c r="T31" s="1"/>
      <c r="U31" s="1"/>
    </row>
    <row r="32" spans="5:21" ht="13.15">
      <c r="F32" s="209"/>
      <c r="G32" s="206"/>
      <c r="H32" s="206"/>
      <c r="I32" s="206"/>
      <c r="J32" s="206"/>
      <c r="K32" s="206"/>
      <c r="L32" s="206"/>
      <c r="P32" s="1"/>
      <c r="Q32" s="1"/>
      <c r="R32" s="1"/>
      <c r="S32" s="1"/>
      <c r="T32" s="1"/>
      <c r="U32" s="1"/>
    </row>
    <row r="33" spans="6:22" ht="13.15">
      <c r="P33" s="1"/>
      <c r="Q33" s="1"/>
      <c r="R33" s="1"/>
      <c r="S33" s="1"/>
      <c r="T33" s="1"/>
      <c r="U33" s="1"/>
      <c r="V33" s="12"/>
    </row>
    <row r="34" spans="6:22" ht="15" customHeight="1">
      <c r="F34" s="209"/>
      <c r="P34" s="1"/>
      <c r="Q34" s="1"/>
      <c r="R34" s="1"/>
      <c r="S34" s="1"/>
      <c r="T34" s="1"/>
      <c r="U34" s="1"/>
      <c r="V34" s="12"/>
    </row>
    <row r="35" spans="6:22" ht="27.6" customHeight="1">
      <c r="F35" s="209"/>
      <c r="P35" s="1"/>
      <c r="Q35" s="1"/>
      <c r="R35" s="1"/>
      <c r="S35" s="1"/>
      <c r="T35" s="1"/>
      <c r="U35" s="1"/>
      <c r="V35" s="12"/>
    </row>
    <row r="36" spans="6:22" ht="27.6" customHeight="1">
      <c r="P36" s="1"/>
      <c r="Q36" s="1"/>
      <c r="R36" s="1"/>
      <c r="S36" s="1"/>
      <c r="T36" s="1"/>
      <c r="U36" s="1"/>
      <c r="V36" s="12"/>
    </row>
    <row r="37" spans="6:22" ht="13.15">
      <c r="P37" s="1"/>
      <c r="Q37" s="1"/>
      <c r="R37" s="1"/>
      <c r="S37" s="1"/>
      <c r="T37" s="1"/>
      <c r="U37" s="1"/>
      <c r="V37" s="12"/>
    </row>
    <row r="38" spans="6:22" ht="13.15"/>
    <row r="39" spans="6:22" ht="13.15">
      <c r="G39" s="212"/>
      <c r="P39" s="206"/>
    </row>
    <row r="40" spans="6:22" ht="13.15">
      <c r="Q40" s="207"/>
      <c r="S40" s="207"/>
    </row>
    <row r="41" spans="6:22" ht="13.15">
      <c r="Q41" s="207"/>
      <c r="S41" s="207"/>
    </row>
    <row r="42" spans="6:22" ht="13.15">
      <c r="Q42" s="207"/>
    </row>
    <row r="43" spans="6:22" ht="13.15">
      <c r="P43" s="206"/>
    </row>
    <row r="44" spans="6:22" ht="13.15">
      <c r="Q44" s="207"/>
      <c r="S44" s="207"/>
    </row>
    <row r="45" spans="6:22" ht="13.15">
      <c r="S45" s="207"/>
    </row>
    <row r="46" spans="6:22" ht="13.15">
      <c r="Q46" s="208"/>
    </row>
    <row r="47" spans="6:22" ht="13.15"/>
    <row r="48" spans="6:22" ht="13.15"/>
    <row r="49" ht="13.15"/>
    <row r="50" ht="13.15"/>
    <row r="51" ht="13.15"/>
    <row r="52" ht="13.15"/>
    <row r="53" ht="13.15"/>
    <row r="54" ht="13.15"/>
    <row r="55" ht="13.15"/>
    <row r="56" ht="13.15"/>
    <row r="57" ht="13.15"/>
    <row r="58" ht="13.15"/>
    <row r="59" ht="13.15"/>
    <row r="60" ht="13.15"/>
    <row r="61" ht="13.15"/>
    <row r="62" ht="13.15"/>
    <row r="63" ht="13.15"/>
    <row r="64" ht="13.15"/>
    <row r="65" ht="13.15"/>
    <row r="66" ht="13.15"/>
    <row r="67" ht="13.15"/>
    <row r="68" ht="13.15"/>
    <row r="69" ht="13.15"/>
    <row r="70" ht="13.15"/>
    <row r="71" ht="13.15"/>
    <row r="72" ht="13.15"/>
    <row r="73" ht="13.15"/>
    <row r="74" ht="13.15"/>
    <row r="75" ht="13.15"/>
    <row r="76" ht="13.15"/>
    <row r="77" ht="13.15"/>
    <row r="78" ht="13.15"/>
    <row r="79" ht="13.15"/>
    <row r="80" ht="13.15"/>
    <row r="81" ht="13.15"/>
    <row r="82" ht="13.15"/>
    <row r="83" ht="13.15"/>
    <row r="84" ht="13.15"/>
    <row r="85" ht="13.15"/>
    <row r="86" ht="13.15"/>
    <row r="87" ht="13.15"/>
    <row r="88" ht="13.15"/>
    <row r="89" ht="13.15"/>
    <row r="90" ht="13.15"/>
    <row r="91" ht="13.15"/>
    <row r="92" ht="13.15"/>
    <row r="93" ht="13.15"/>
    <row r="94" ht="13.15"/>
    <row r="95" ht="13.15"/>
    <row r="96"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3.15"/>
    <row r="141" ht="13.15"/>
    <row r="142" ht="13.15"/>
    <row r="143" ht="13.15"/>
    <row r="144" ht="13.15"/>
    <row r="145" ht="13.15"/>
    <row r="146" ht="13.15"/>
    <row r="147" ht="13.15"/>
    <row r="148" ht="13.15"/>
    <row r="149" ht="13.15"/>
    <row r="150" ht="13.15"/>
    <row r="151" ht="13.15"/>
    <row r="152" ht="13.15"/>
    <row r="153" ht="13.15"/>
    <row r="154" ht="13.15"/>
    <row r="155" ht="13.15"/>
    <row r="156" ht="13.15"/>
    <row r="157" ht="13.15"/>
    <row r="158" ht="13.15"/>
    <row r="159" ht="13.15"/>
    <row r="160" ht="13.15"/>
    <row r="161" ht="13.15"/>
    <row r="162" ht="13.15"/>
    <row r="163" ht="13.15"/>
    <row r="164" ht="13.15"/>
    <row r="165" ht="13.15"/>
    <row r="166" ht="13.15"/>
    <row r="167" ht="13.15"/>
    <row r="168" ht="13.15"/>
    <row r="169" ht="13.15"/>
    <row r="170" ht="13.15"/>
    <row r="171" ht="13.15"/>
    <row r="172" ht="13.15"/>
    <row r="173" ht="13.15"/>
    <row r="174" ht="13.15"/>
    <row r="175" ht="13.15"/>
    <row r="176" ht="13.15"/>
    <row r="177" ht="13.15"/>
    <row r="178" ht="13.15"/>
    <row r="179" ht="13.15"/>
    <row r="180" ht="13.15"/>
    <row r="181" ht="13.15"/>
    <row r="182" ht="13.15"/>
    <row r="183" ht="13.15"/>
    <row r="184" ht="13.15"/>
    <row r="185" ht="13.15"/>
    <row r="186" ht="13.15"/>
    <row r="187" ht="13.15"/>
    <row r="188" ht="13.15"/>
    <row r="189" ht="13.15"/>
    <row r="190" ht="13.15"/>
    <row r="191" ht="13.15"/>
    <row r="192" ht="13.15"/>
    <row r="193" ht="13.15"/>
    <row r="194" ht="13.15"/>
    <row r="195" ht="13.15"/>
    <row r="196" ht="13.15"/>
    <row r="197" ht="13.15"/>
    <row r="198" ht="13.15"/>
    <row r="199" ht="13.15"/>
    <row r="200" ht="13.15"/>
    <row r="201" ht="13.15"/>
    <row r="202" ht="13.15"/>
    <row r="203" ht="13.15"/>
    <row r="204" ht="13.15"/>
    <row r="205" ht="13.15"/>
    <row r="206" ht="13.15"/>
    <row r="207" ht="13.15"/>
    <row r="208" ht="13.15"/>
    <row r="209" ht="13.15"/>
    <row r="210" ht="13.15"/>
    <row r="211" ht="13.15"/>
    <row r="212" ht="13.15"/>
    <row r="213" ht="13.15"/>
    <row r="214" ht="13.15"/>
    <row r="215" ht="13.15"/>
    <row r="216" ht="13.15"/>
    <row r="217" ht="13.15"/>
    <row r="218" ht="13.15"/>
    <row r="219" ht="13.15"/>
    <row r="220" ht="13.15"/>
    <row r="221" ht="13.15"/>
    <row r="222" ht="13.15"/>
    <row r="223" ht="13.15"/>
    <row r="224" ht="13.15"/>
    <row r="225" ht="13.15"/>
    <row r="226" ht="13.15"/>
    <row r="227" ht="13.15"/>
    <row r="228" ht="13.15"/>
    <row r="229" ht="13.15"/>
    <row r="230" ht="13.15"/>
    <row r="231" ht="13.15"/>
    <row r="232" ht="13.15"/>
    <row r="233" ht="13.15"/>
    <row r="234" ht="13.15"/>
    <row r="235" ht="13.15"/>
    <row r="236" ht="13.15"/>
    <row r="237" ht="13.15"/>
    <row r="238" ht="13.15"/>
    <row r="239" ht="13.15"/>
    <row r="240" ht="13.15"/>
    <row r="241" ht="13.15"/>
    <row r="242" ht="13.15"/>
    <row r="243" ht="13.15"/>
    <row r="244" ht="13.15"/>
    <row r="245" ht="13.15"/>
    <row r="246" ht="13.15"/>
    <row r="247" ht="13.15"/>
    <row r="248" ht="13.15"/>
    <row r="249" ht="13.15"/>
    <row r="250" ht="13.15"/>
    <row r="251" ht="13.15"/>
    <row r="252" ht="13.15"/>
    <row r="253" ht="13.15"/>
    <row r="254" ht="13.15"/>
    <row r="255" ht="13.15"/>
    <row r="256" ht="13.15"/>
    <row r="257" ht="13.15"/>
    <row r="258" ht="13.15"/>
    <row r="259" ht="13.15"/>
    <row r="260" ht="13.15"/>
    <row r="261" ht="13.15"/>
    <row r="262" ht="13.15"/>
    <row r="263" ht="13.15"/>
    <row r="264" ht="13.15"/>
    <row r="265" ht="13.15"/>
    <row r="266" ht="13.15"/>
    <row r="267" ht="13.15"/>
    <row r="268" ht="13.15"/>
    <row r="269" ht="13.15"/>
    <row r="270" ht="13.15"/>
    <row r="271" ht="13.15"/>
    <row r="272" ht="13.15"/>
    <row r="273" ht="13.15"/>
    <row r="274" ht="13.15"/>
    <row r="275" ht="13.15"/>
    <row r="276" ht="13.15"/>
    <row r="277" ht="13.15"/>
    <row r="278" ht="13.15"/>
    <row r="279" ht="13.15"/>
    <row r="280" ht="13.15"/>
    <row r="281" ht="13.15"/>
    <row r="282" ht="13.15"/>
    <row r="283" ht="13.15"/>
    <row r="284" ht="13.15"/>
    <row r="285" ht="13.15"/>
    <row r="286" ht="13.15"/>
    <row r="287" ht="13.15"/>
    <row r="288" ht="13.15"/>
    <row r="289" ht="13.15"/>
    <row r="290" ht="13.15"/>
    <row r="291" ht="13.15"/>
    <row r="292" ht="13.15"/>
    <row r="293" ht="13.15"/>
    <row r="294" ht="13.15"/>
    <row r="295" ht="13.15"/>
    <row r="296" ht="13.15"/>
    <row r="297" ht="13.15"/>
    <row r="298" ht="13.15"/>
    <row r="299" ht="13.15"/>
    <row r="300" ht="13.15"/>
    <row r="301" ht="13.15"/>
    <row r="302" ht="13.15"/>
    <row r="303" ht="13.15"/>
    <row r="304" ht="13.15"/>
    <row r="305" ht="13.15"/>
    <row r="306" ht="13.15"/>
    <row r="307" ht="13.15"/>
    <row r="308" ht="13.15"/>
    <row r="309" ht="13.15"/>
    <row r="310" ht="13.15"/>
    <row r="311" ht="13.15"/>
    <row r="312" ht="13.15"/>
    <row r="313" ht="13.15"/>
    <row r="314" ht="13.15"/>
    <row r="315" ht="13.15"/>
    <row r="316" ht="13.15"/>
    <row r="317" ht="13.15"/>
    <row r="318" ht="13.15"/>
    <row r="319" ht="13.15"/>
    <row r="320" ht="13.15"/>
    <row r="321" ht="13.15"/>
    <row r="322" ht="13.15"/>
    <row r="323" ht="13.15"/>
    <row r="324" ht="13.15"/>
    <row r="325" ht="13.15"/>
    <row r="326" ht="13.15"/>
    <row r="327" ht="13.15"/>
    <row r="328" ht="13.15"/>
    <row r="329" ht="13.15"/>
    <row r="330" ht="13.15"/>
    <row r="331" ht="13.15"/>
    <row r="332" ht="13.15"/>
    <row r="333" ht="13.15"/>
    <row r="334" ht="13.15"/>
    <row r="335" ht="13.15"/>
    <row r="336" ht="13.15"/>
    <row r="337" ht="13.15"/>
    <row r="338" ht="13.15"/>
    <row r="339" ht="13.15"/>
    <row r="340" ht="13.15"/>
    <row r="341" ht="13.15"/>
    <row r="342" ht="13.15"/>
    <row r="343" ht="13.15"/>
    <row r="344" ht="13.15"/>
    <row r="345" ht="13.15"/>
    <row r="346" ht="13.15"/>
    <row r="347" ht="13.15"/>
    <row r="348" ht="13.15"/>
    <row r="349" ht="13.15"/>
    <row r="350" ht="13.15"/>
    <row r="351" ht="13.15"/>
    <row r="352" ht="13.15"/>
    <row r="353" ht="13.15"/>
    <row r="354" ht="13.15"/>
    <row r="355" ht="13.15"/>
    <row r="356" ht="13.15"/>
    <row r="357" ht="13.15"/>
    <row r="358" ht="13.15"/>
    <row r="359" ht="13.15"/>
    <row r="360" ht="13.15"/>
    <row r="361" ht="13.15"/>
    <row r="362" ht="13.15"/>
    <row r="363" ht="13.15"/>
    <row r="364" ht="13.15"/>
    <row r="365" ht="13.15"/>
    <row r="366" ht="13.15"/>
    <row r="367" ht="13.15"/>
    <row r="368" ht="13.15"/>
    <row r="369" ht="13.15"/>
    <row r="370" ht="13.15"/>
    <row r="371" ht="13.15"/>
    <row r="372" ht="13.15"/>
    <row r="373" ht="13.15"/>
    <row r="374" ht="13.15"/>
    <row r="375" ht="13.15"/>
    <row r="376" ht="13.15"/>
    <row r="377" ht="13.15"/>
    <row r="378" ht="13.15"/>
    <row r="379" ht="13.15"/>
    <row r="380" ht="13.15"/>
    <row r="381" ht="13.15"/>
    <row r="382" ht="13.15"/>
    <row r="383" ht="13.15"/>
    <row r="384" ht="13.15"/>
    <row r="385" ht="13.15"/>
    <row r="386" ht="13.15"/>
    <row r="387" ht="13.15"/>
    <row r="388" ht="13.15"/>
    <row r="389" ht="13.15"/>
    <row r="390" ht="13.15"/>
    <row r="391" ht="13.15"/>
    <row r="392" ht="13.15"/>
    <row r="393" ht="13.15"/>
    <row r="394" ht="13.15"/>
    <row r="395" ht="13.15"/>
    <row r="396" ht="13.15"/>
    <row r="397" ht="13.15"/>
    <row r="398" ht="13.15"/>
    <row r="399" ht="13.15"/>
    <row r="400" ht="13.15"/>
    <row r="401" ht="13.15"/>
    <row r="402" ht="13.15"/>
    <row r="403" ht="13.15"/>
    <row r="404" ht="13.15"/>
    <row r="405" ht="13.15"/>
    <row r="406" ht="13.15"/>
    <row r="407" ht="13.15"/>
    <row r="408" ht="13.15"/>
    <row r="409" ht="13.15"/>
    <row r="410" ht="13.15"/>
    <row r="411" ht="13.15"/>
    <row r="412" ht="13.15"/>
    <row r="413" ht="13.15"/>
    <row r="414" ht="13.15"/>
    <row r="415" ht="13.15"/>
    <row r="416" ht="13.15"/>
    <row r="417" ht="13.15"/>
    <row r="418" ht="13.15"/>
    <row r="419" ht="13.15"/>
    <row r="420" ht="13.15"/>
    <row r="421" ht="13.15"/>
    <row r="422" ht="13.15"/>
    <row r="423" ht="13.15"/>
    <row r="424" ht="13.15"/>
    <row r="425" ht="13.15"/>
    <row r="426" ht="13.15"/>
    <row r="427" ht="13.15"/>
    <row r="428" ht="13.15"/>
    <row r="429" ht="13.15"/>
    <row r="430" ht="13.15"/>
    <row r="431" ht="13.15"/>
    <row r="432" ht="13.15"/>
    <row r="433" ht="13.15"/>
    <row r="434" ht="13.15"/>
    <row r="435" ht="13.15"/>
    <row r="436" ht="13.15"/>
    <row r="437" ht="13.15"/>
    <row r="438" ht="13.15"/>
    <row r="439" ht="13.15"/>
    <row r="440" ht="13.15"/>
    <row r="441" ht="13.15"/>
    <row r="442" ht="13.15"/>
    <row r="443" ht="13.15"/>
    <row r="444" ht="13.15"/>
    <row r="445" ht="13.15"/>
    <row r="446" ht="13.15"/>
    <row r="447" ht="13.15"/>
    <row r="448" ht="13.15"/>
    <row r="449" ht="13.15"/>
    <row r="450" ht="13.15"/>
    <row r="451" ht="13.15"/>
    <row r="452" ht="13.15"/>
    <row r="453" ht="13.15"/>
    <row r="454" ht="13.15"/>
    <row r="455" ht="13.15"/>
    <row r="456" ht="13.15"/>
    <row r="457" ht="13.15"/>
    <row r="458" ht="13.15"/>
    <row r="459" ht="13.15"/>
    <row r="460" ht="13.15"/>
    <row r="461" ht="13.15"/>
    <row r="462" ht="13.15"/>
    <row r="463" ht="13.15"/>
    <row r="464" ht="13.15"/>
    <row r="465" ht="13.15"/>
    <row r="466" ht="13.15"/>
    <row r="467" ht="13.15"/>
    <row r="468" ht="13.15"/>
    <row r="469" ht="13.15"/>
    <row r="470" ht="13.15"/>
    <row r="471" ht="13.15"/>
    <row r="472" ht="13.15"/>
    <row r="473" ht="13.15"/>
    <row r="474" ht="13.15"/>
    <row r="475" ht="13.15"/>
    <row r="476" ht="13.15"/>
    <row r="477" ht="13.15"/>
    <row r="478" ht="13.15"/>
    <row r="479" ht="13.15"/>
    <row r="480" ht="13.15"/>
    <row r="481" ht="13.15"/>
    <row r="482" ht="13.15"/>
    <row r="483" ht="13.15"/>
    <row r="484" ht="13.15"/>
    <row r="485" ht="13.15"/>
    <row r="486" ht="13.15"/>
    <row r="487" ht="13.15"/>
    <row r="488" ht="13.15"/>
    <row r="489" ht="13.15"/>
    <row r="490" ht="13.15"/>
    <row r="491" ht="13.15"/>
    <row r="492" ht="13.15"/>
    <row r="493" ht="13.15"/>
    <row r="494" ht="13.15"/>
    <row r="495" ht="13.15"/>
    <row r="496" ht="13.15"/>
    <row r="497" ht="13.15"/>
    <row r="498" ht="13.15"/>
    <row r="499" ht="13.15"/>
    <row r="500" ht="13.15"/>
    <row r="501" ht="13.15"/>
    <row r="502" ht="13.15"/>
    <row r="503" ht="13.15"/>
    <row r="504" ht="13.15"/>
    <row r="505" ht="13.15"/>
    <row r="506" ht="13.15"/>
    <row r="507" ht="13.15"/>
    <row r="508" ht="13.15"/>
    <row r="509" ht="13.15"/>
    <row r="510" ht="13.15"/>
    <row r="511" ht="13.15"/>
    <row r="512" ht="13.15"/>
    <row r="513" ht="13.15"/>
    <row r="514" ht="13.15"/>
    <row r="515" ht="13.15"/>
    <row r="516" ht="13.15"/>
    <row r="517" ht="13.15"/>
    <row r="518" ht="13.15"/>
    <row r="519" ht="13.15"/>
    <row r="520" ht="13.15"/>
    <row r="521" ht="13.15"/>
    <row r="522" ht="13.15"/>
    <row r="523" ht="13.15"/>
    <row r="524" ht="13.15"/>
    <row r="525" ht="13.15"/>
    <row r="526" ht="13.15"/>
    <row r="527" ht="13.15"/>
    <row r="528" ht="13.15"/>
    <row r="529" ht="13.15"/>
    <row r="530" ht="13.15"/>
    <row r="531" ht="13.15"/>
    <row r="532" ht="13.15"/>
    <row r="533" ht="13.15"/>
    <row r="534" ht="13.15"/>
    <row r="535" ht="13.15"/>
    <row r="536" ht="13.15"/>
    <row r="537" ht="13.15"/>
    <row r="538" ht="13.15"/>
    <row r="539" ht="13.15"/>
    <row r="540" ht="13.15"/>
    <row r="541" ht="13.15"/>
    <row r="542" ht="13.15"/>
    <row r="543" ht="13.15"/>
    <row r="544" ht="13.15"/>
    <row r="545" ht="13.15"/>
    <row r="546" ht="13.15"/>
    <row r="547" ht="13.15"/>
    <row r="548" ht="13.15"/>
    <row r="549" ht="13.15"/>
    <row r="550" ht="13.15"/>
    <row r="551" ht="13.15"/>
    <row r="552" ht="13.15"/>
    <row r="553" ht="13.15"/>
    <row r="554" ht="13.15"/>
    <row r="555" ht="13.15"/>
    <row r="556" ht="13.15"/>
    <row r="557" ht="13.15"/>
    <row r="558" ht="13.15"/>
    <row r="559" ht="13.15"/>
    <row r="560" ht="13.15"/>
    <row r="561" ht="13.15"/>
    <row r="562" ht="13.15"/>
    <row r="563" ht="13.15"/>
    <row r="564" ht="13.15"/>
    <row r="565" ht="13.15"/>
    <row r="566" ht="13.15"/>
    <row r="567" ht="13.15"/>
    <row r="568" ht="13.15"/>
    <row r="569" ht="13.15"/>
    <row r="570" ht="13.15"/>
    <row r="571" ht="13.15"/>
    <row r="572" ht="13.15"/>
    <row r="573" ht="13.15"/>
    <row r="574" ht="13.15"/>
    <row r="575" ht="13.15"/>
    <row r="576" ht="13.15"/>
    <row r="577" ht="13.15"/>
    <row r="578" ht="13.15"/>
    <row r="579" ht="13.15"/>
    <row r="580" ht="13.15"/>
    <row r="581" ht="13.15"/>
    <row r="582" ht="13.15"/>
    <row r="583" ht="13.15"/>
    <row r="584" ht="13.15"/>
    <row r="585" ht="13.15"/>
    <row r="586" ht="13.15"/>
    <row r="587" ht="13.15"/>
    <row r="588" ht="13.15"/>
    <row r="589" ht="13.15"/>
    <row r="590" ht="13.15"/>
    <row r="591" ht="13.15"/>
    <row r="592" ht="13.15"/>
    <row r="593" ht="13.15"/>
    <row r="594" ht="13.15"/>
    <row r="595" ht="13.15"/>
    <row r="596" ht="13.15"/>
    <row r="597" ht="13.15"/>
    <row r="598" ht="13.15"/>
    <row r="599" ht="13.15"/>
    <row r="600" ht="13.15"/>
    <row r="601" ht="13.15"/>
    <row r="602" ht="13.15"/>
    <row r="603" ht="13.15"/>
    <row r="604" ht="13.15"/>
    <row r="605" ht="13.15"/>
    <row r="606" ht="13.15"/>
    <row r="607" ht="13.15"/>
    <row r="608" ht="13.15"/>
    <row r="609" ht="13.15"/>
    <row r="610" ht="13.15"/>
    <row r="611" ht="13.15"/>
    <row r="612" ht="13.15"/>
    <row r="613" ht="13.15"/>
    <row r="614" ht="13.15"/>
    <row r="615" ht="13.15"/>
    <row r="616" ht="13.15"/>
    <row r="617" ht="13.15"/>
    <row r="618" ht="13.15"/>
    <row r="619" ht="13.15"/>
    <row r="620" ht="13.15"/>
    <row r="621" ht="13.15"/>
    <row r="622" ht="13.15"/>
    <row r="623" ht="13.15"/>
    <row r="624" ht="13.15"/>
    <row r="625" ht="13.15"/>
    <row r="626" ht="13.15"/>
    <row r="627" ht="13.15"/>
    <row r="628" ht="13.15"/>
    <row r="629" ht="13.15"/>
    <row r="630" ht="13.15"/>
    <row r="631" ht="13.15"/>
    <row r="632" ht="13.15"/>
    <row r="633" ht="13.15"/>
    <row r="634" ht="13.15"/>
    <row r="635" ht="13.15"/>
    <row r="636" ht="13.15"/>
    <row r="637" ht="13.15"/>
    <row r="638" ht="13.15"/>
    <row r="639" ht="13.15"/>
    <row r="640" ht="13.15"/>
    <row r="641" ht="13.15"/>
    <row r="642" ht="13.15"/>
    <row r="643" ht="13.15"/>
    <row r="644" ht="13.15"/>
    <row r="645" ht="13.15"/>
    <row r="646" ht="13.15"/>
    <row r="647" ht="13.15"/>
    <row r="648" ht="13.15"/>
    <row r="649" ht="13.15"/>
    <row r="650" ht="13.15"/>
    <row r="651" ht="13.15"/>
    <row r="652" ht="13.15"/>
    <row r="653" ht="13.15"/>
    <row r="654" ht="13.15"/>
    <row r="655" ht="13.15"/>
    <row r="656" ht="13.15"/>
    <row r="657" ht="13.15"/>
    <row r="658" ht="13.15"/>
    <row r="659" ht="13.15"/>
    <row r="660" ht="13.15"/>
    <row r="661" ht="13.15"/>
    <row r="662" ht="13.15"/>
    <row r="663" ht="13.15"/>
    <row r="664" ht="13.15"/>
    <row r="665" ht="13.15"/>
    <row r="666" ht="13.15"/>
    <row r="667" ht="13.15"/>
    <row r="668" ht="13.15"/>
    <row r="669" ht="13.15"/>
    <row r="670" ht="13.15"/>
    <row r="671" ht="13.15"/>
    <row r="672" ht="13.15"/>
    <row r="673" ht="13.15"/>
    <row r="674" ht="13.15"/>
    <row r="675" ht="13.15"/>
    <row r="676" ht="13.15"/>
    <row r="677" ht="13.15"/>
    <row r="678" ht="13.15"/>
    <row r="679" ht="13.15"/>
    <row r="680" ht="13.15"/>
    <row r="681" ht="13.15"/>
    <row r="682" ht="13.15"/>
    <row r="683" ht="13.15"/>
    <row r="684" ht="13.15"/>
    <row r="685" ht="13.15"/>
    <row r="686" ht="13.15"/>
    <row r="687" ht="13.15"/>
    <row r="688" ht="13.15"/>
    <row r="689" ht="13.15"/>
    <row r="690" ht="13.15"/>
    <row r="691" ht="13.15"/>
    <row r="692" ht="13.15"/>
    <row r="693" ht="13.15"/>
    <row r="694" ht="13.15"/>
    <row r="695" ht="13.15"/>
    <row r="696" ht="13.15"/>
    <row r="697" ht="13.15"/>
    <row r="698" ht="13.15"/>
    <row r="699" ht="13.15"/>
    <row r="700" ht="13.15"/>
    <row r="701" ht="13.15"/>
    <row r="702" ht="13.15"/>
    <row r="703" ht="13.15"/>
    <row r="704" ht="13.15"/>
    <row r="705" ht="13.15"/>
    <row r="706" ht="13.15"/>
    <row r="707" ht="13.15"/>
    <row r="708" ht="13.15"/>
    <row r="709" ht="13.15"/>
    <row r="710" ht="13.15"/>
    <row r="711" ht="13.15"/>
    <row r="712" ht="13.15"/>
    <row r="713" ht="13.15"/>
    <row r="714" ht="13.15"/>
    <row r="715" ht="13.15"/>
    <row r="716" ht="13.15"/>
    <row r="717" ht="13.15"/>
    <row r="718" ht="13.15"/>
    <row r="719" ht="13.15"/>
    <row r="720" ht="13.15"/>
    <row r="721" ht="13.15"/>
    <row r="722" ht="13.15"/>
    <row r="723" ht="13.15"/>
    <row r="724" ht="13.15"/>
    <row r="725" ht="13.15"/>
    <row r="726" ht="13.15"/>
    <row r="727" ht="13.15"/>
    <row r="728" ht="13.15"/>
    <row r="729" ht="13.15"/>
    <row r="730" ht="13.15"/>
    <row r="731" ht="13.15"/>
    <row r="732" ht="13.15"/>
    <row r="733" ht="13.15"/>
    <row r="734" ht="13.15"/>
    <row r="735" ht="13.15"/>
    <row r="736" ht="13.15"/>
    <row r="737" ht="13.15"/>
    <row r="738" ht="13.15"/>
    <row r="739" ht="13.15"/>
    <row r="740" ht="13.15"/>
    <row r="741" ht="13.15"/>
    <row r="742" ht="13.15"/>
    <row r="743" ht="13.15"/>
    <row r="744" ht="13.15"/>
    <row r="745" ht="13.15"/>
    <row r="746" ht="13.15"/>
    <row r="747" ht="13.15"/>
    <row r="748" ht="13.15"/>
    <row r="749" ht="13.15"/>
    <row r="750" ht="13.15"/>
    <row r="751" ht="13.15"/>
    <row r="752" ht="13.15"/>
    <row r="753" ht="13.15"/>
    <row r="754" ht="13.15"/>
    <row r="755" ht="13.15"/>
    <row r="756" ht="13.15"/>
    <row r="757" ht="13.15"/>
    <row r="758" ht="13.15"/>
    <row r="759" ht="13.15"/>
    <row r="760" ht="13.15"/>
    <row r="761" ht="13.15"/>
    <row r="762" ht="13.15"/>
    <row r="763" ht="13.15"/>
    <row r="764" ht="13.15"/>
    <row r="765" ht="13.15"/>
    <row r="766" ht="13.15"/>
    <row r="767" ht="13.15"/>
    <row r="768" ht="13.15"/>
    <row r="769" ht="13.15"/>
    <row r="770" ht="13.15"/>
    <row r="771" ht="13.15"/>
    <row r="772" ht="13.15"/>
    <row r="773" ht="13.15"/>
    <row r="774" ht="13.15"/>
    <row r="775" ht="13.15"/>
    <row r="776" ht="13.15"/>
    <row r="777" ht="13.15"/>
    <row r="778" ht="13.15"/>
    <row r="779" ht="13.15"/>
    <row r="780" ht="13.15"/>
    <row r="781" ht="13.15"/>
    <row r="782" ht="13.15"/>
    <row r="783" ht="13.15"/>
    <row r="784" ht="13.15"/>
    <row r="785" ht="13.15"/>
    <row r="786" ht="13.15"/>
    <row r="787" ht="13.15"/>
    <row r="788" ht="13.15"/>
    <row r="789" ht="13.15"/>
    <row r="790" ht="13.15"/>
    <row r="791" ht="13.15"/>
    <row r="792" ht="13.15"/>
    <row r="793" ht="13.15"/>
    <row r="794" ht="13.15"/>
    <row r="795" ht="13.15"/>
    <row r="796" ht="13.15"/>
    <row r="797" ht="13.15"/>
    <row r="798" ht="13.15"/>
    <row r="799" ht="13.15"/>
    <row r="800" ht="13.15"/>
    <row r="801" ht="13.15"/>
    <row r="802" ht="13.15"/>
    <row r="803" ht="13.15"/>
    <row r="804" ht="13.15"/>
    <row r="805" ht="13.15"/>
    <row r="806" ht="13.15"/>
    <row r="807" ht="13.15"/>
    <row r="808" ht="13.15"/>
    <row r="809" ht="13.15"/>
    <row r="810" ht="13.15"/>
    <row r="811" ht="13.15"/>
    <row r="812" ht="13.15"/>
    <row r="813" ht="13.15"/>
    <row r="814" ht="13.15"/>
    <row r="815" ht="13.15"/>
    <row r="816" ht="13.15"/>
    <row r="817" ht="13.15"/>
    <row r="818" ht="13.15"/>
    <row r="819" ht="13.15"/>
    <row r="820" ht="13.15"/>
    <row r="821" ht="13.15"/>
    <row r="822" ht="13.15"/>
    <row r="823" ht="13.15"/>
    <row r="824" ht="13.15"/>
    <row r="825" ht="13.15"/>
    <row r="826" ht="13.15"/>
    <row r="827" ht="13.15"/>
    <row r="828" ht="13.15"/>
    <row r="829" ht="13.15"/>
    <row r="830" ht="13.15"/>
    <row r="831" ht="13.15"/>
    <row r="832" ht="13.15"/>
    <row r="833" ht="13.15"/>
    <row r="834" ht="13.15"/>
    <row r="835" ht="13.15"/>
    <row r="836" ht="13.15"/>
    <row r="837" ht="13.15"/>
    <row r="838" ht="13.15"/>
    <row r="839" ht="13.15"/>
    <row r="840" ht="13.15"/>
    <row r="841" ht="13.15"/>
    <row r="842" ht="13.15"/>
    <row r="843" ht="13.15"/>
    <row r="844" ht="13.15"/>
    <row r="845" ht="13.15"/>
    <row r="846" ht="13.15"/>
    <row r="847" ht="13.15"/>
    <row r="848" ht="13.15"/>
    <row r="849" ht="13.15"/>
    <row r="850" ht="13.15"/>
    <row r="851" ht="13.15"/>
    <row r="852" ht="13.15"/>
    <row r="853" ht="13.15"/>
    <row r="854" ht="13.15"/>
    <row r="855" ht="13.15"/>
    <row r="856" ht="13.15"/>
    <row r="857" ht="13.15"/>
    <row r="858" ht="13.15"/>
    <row r="859" ht="13.15"/>
    <row r="860" ht="13.15"/>
    <row r="861" ht="13.15"/>
    <row r="862" ht="13.15"/>
    <row r="863" ht="13.15"/>
    <row r="864" ht="13.15"/>
    <row r="865" ht="13.15"/>
    <row r="866" ht="13.15"/>
    <row r="867" ht="13.15"/>
    <row r="868" ht="13.15"/>
    <row r="869" ht="13.15"/>
    <row r="870" ht="13.15"/>
    <row r="871" ht="13.15"/>
    <row r="872" ht="13.15"/>
    <row r="873" ht="13.15"/>
    <row r="874" ht="13.15"/>
    <row r="875" ht="13.15"/>
    <row r="876" ht="13.15"/>
    <row r="877" ht="13.15"/>
    <row r="878" ht="13.15"/>
    <row r="879" ht="13.15"/>
    <row r="880" ht="13.15"/>
    <row r="881" ht="13.15"/>
    <row r="882" ht="13.15"/>
    <row r="883" ht="13.15"/>
    <row r="884" ht="13.15"/>
    <row r="885" ht="13.15"/>
    <row r="886" ht="13.15"/>
    <row r="887" ht="13.15"/>
    <row r="888" ht="13.15"/>
    <row r="889" ht="13.15"/>
    <row r="890" ht="13.15"/>
    <row r="891" ht="13.15"/>
    <row r="892" ht="13.15"/>
    <row r="893" ht="13.15"/>
    <row r="894" ht="13.15"/>
    <row r="895" ht="13.15"/>
    <row r="896" ht="13.15"/>
    <row r="897" ht="13.15"/>
    <row r="898" ht="13.15"/>
    <row r="899" ht="13.15"/>
    <row r="900" ht="13.15"/>
    <row r="901" ht="13.15"/>
    <row r="902" ht="13.15"/>
    <row r="903" ht="13.15"/>
    <row r="904" ht="13.15"/>
    <row r="905" ht="13.15"/>
    <row r="906" ht="13.15"/>
    <row r="907" ht="13.15"/>
    <row r="908" ht="13.15"/>
    <row r="909" ht="13.15"/>
    <row r="910" ht="13.15"/>
    <row r="911" ht="13.15"/>
    <row r="912" ht="13.15"/>
    <row r="913" ht="13.15"/>
    <row r="914" ht="13.15"/>
    <row r="915" ht="13.15"/>
    <row r="916" ht="13.15"/>
    <row r="917" ht="13.15"/>
    <row r="918" ht="13.15"/>
    <row r="919" ht="13.15"/>
    <row r="920" ht="13.15"/>
    <row r="921" ht="13.15"/>
    <row r="922" ht="13.15"/>
    <row r="923" ht="13.15"/>
    <row r="924" ht="13.15"/>
    <row r="925" ht="13.15"/>
    <row r="926" ht="13.15"/>
    <row r="927" ht="13.15"/>
    <row r="928" ht="13.15"/>
    <row r="929" ht="13.15"/>
    <row r="930" ht="13.15"/>
    <row r="931" ht="13.15"/>
    <row r="932" ht="13.15"/>
    <row r="933" ht="13.15"/>
    <row r="934" ht="13.15"/>
    <row r="935" ht="13.15"/>
    <row r="936" ht="13.15"/>
    <row r="937" ht="13.15"/>
    <row r="938" ht="13.15"/>
    <row r="939" ht="13.15"/>
    <row r="940" ht="13.15"/>
    <row r="941" ht="13.15"/>
    <row r="942" ht="13.15"/>
    <row r="943" ht="13.15"/>
    <row r="944" ht="13.15"/>
    <row r="945" ht="13.15"/>
    <row r="946" ht="13.15"/>
    <row r="947" ht="13.15"/>
    <row r="948" ht="13.15"/>
    <row r="949" ht="13.15"/>
    <row r="950" ht="13.15"/>
    <row r="951" ht="13.15"/>
    <row r="952" ht="13.15"/>
    <row r="953" ht="13.15"/>
    <row r="954" ht="13.15"/>
    <row r="955" ht="13.15"/>
    <row r="956" ht="13.15"/>
    <row r="957" ht="13.15"/>
    <row r="958" ht="13.15"/>
    <row r="959" ht="13.15"/>
    <row r="960" ht="13.15"/>
    <row r="961" ht="13.15"/>
    <row r="962" ht="13.15"/>
    <row r="963" ht="13.15"/>
    <row r="964" ht="13.15"/>
    <row r="965" ht="13.15"/>
    <row r="966" ht="13.15"/>
    <row r="967" ht="13.15"/>
    <row r="968" ht="13.15"/>
    <row r="969" ht="13.15"/>
    <row r="970" ht="13.15"/>
    <row r="971" ht="13.15"/>
    <row r="972" ht="13.15"/>
    <row r="973" ht="13.15"/>
    <row r="974" ht="13.15"/>
    <row r="975" ht="13.15"/>
    <row r="976" ht="13.15"/>
    <row r="977" ht="13.15"/>
    <row r="978" ht="13.15"/>
    <row r="979" ht="13.15"/>
    <row r="980" ht="13.15"/>
    <row r="981" ht="13.15"/>
    <row r="982" ht="13.15"/>
    <row r="983" ht="13.15"/>
    <row r="984" ht="13.15"/>
    <row r="985" ht="13.15"/>
    <row r="986" ht="13.15"/>
    <row r="987" ht="13.15"/>
    <row r="988" ht="13.15"/>
    <row r="989" ht="13.15"/>
    <row r="990" ht="13.15"/>
    <row r="991" ht="13.15"/>
    <row r="992" ht="13.15"/>
    <row r="993" ht="13.15"/>
    <row r="994" ht="13.15"/>
    <row r="995" ht="13.15"/>
    <row r="996" ht="13.15"/>
    <row r="997" ht="13.15"/>
    <row r="998" ht="13.15"/>
    <row r="999" ht="13.15"/>
    <row r="1000" ht="13.15"/>
    <row r="1001" ht="13.15"/>
    <row r="1002" ht="13.15"/>
  </sheetData>
  <sheetProtection algorithmName="SHA-512" hashValue="kvj1QIiq+K8V7zyNcTQWfraUR6BCw9VK+dOmovb0462VU1K7OSlv+fWnzq8CZYqE7MQCUXgIGj/7nDQJnGlApg==" saltValue="R/ZAIrgfIvi/olbUDsbBLQ==" spinCount="100000" sheet="1" objects="1" scenarios="1" selectLockedCells="1"/>
  <conditionalFormatting sqref="H17 H15:I16">
    <cfRule type="cellIs" dxfId="5" priority="36" operator="equal">
      <formula>"X"</formula>
    </cfRule>
  </conditionalFormatting>
  <conditionalFormatting sqref="H19 H18:I18 I17:J17 J16:K16">
    <cfRule type="cellIs" dxfId="4" priority="35" operator="equal">
      <formula>"X"</formula>
    </cfRule>
  </conditionalFormatting>
  <conditionalFormatting sqref="L16 K17:L17 J18:L18 I19:L19">
    <cfRule type="cellIs" dxfId="3" priority="34" operator="equal">
      <formula>"X"</formula>
    </cfRule>
  </conditionalFormatting>
  <conditionalFormatting sqref="K15">
    <cfRule type="cellIs" dxfId="2" priority="33" operator="equal">
      <formula>"X"</formula>
    </cfRule>
  </conditionalFormatting>
  <conditionalFormatting sqref="L15">
    <cfRule type="cellIs" dxfId="1" priority="2" operator="equal">
      <formula>"X"</formula>
    </cfRule>
  </conditionalFormatting>
  <conditionalFormatting sqref="J15">
    <cfRule type="cellIs" dxfId="0" priority="1" operator="equal">
      <formula>"X"</formula>
    </cfRule>
  </conditionalFormatting>
  <hyperlinks>
    <hyperlink ref="A2" r:id="rId1" xr:uid="{00000000-0004-0000-0C00-000000000000}"/>
  </hyperlinks>
  <pageMargins left="0.7" right="0.7" top="0.75" bottom="0.75" header="0.3" footer="0.3"/>
  <pageSetup orientation="portrait" r:id="rId2"/>
  <headerFooter>
    <oddHeader>&amp;C&amp;K00B050Vulnerability Assessment Tool, Food Fraud Advisors 2017</oddHeader>
    <oddFooter>&amp;CInsert your company's standard document control features here</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B1:G44"/>
  <sheetViews>
    <sheetView showGridLines="0" showRowColHeaders="0" zoomScaleNormal="100" workbookViewId="0">
      <selection activeCell="D6" sqref="D6:F6"/>
    </sheetView>
  </sheetViews>
  <sheetFormatPr defaultColWidth="9.140625" defaultRowHeight="13.15"/>
  <cols>
    <col min="1" max="1" width="7" style="1" customWidth="1"/>
    <col min="2" max="2" width="20.140625" style="1" customWidth="1"/>
    <col min="3" max="3" width="20.42578125" style="1" customWidth="1"/>
    <col min="4" max="4" width="18" style="1" customWidth="1"/>
    <col min="5" max="5" width="19.5703125" style="1" customWidth="1"/>
    <col min="6" max="16384" width="9.140625" style="1"/>
  </cols>
  <sheetData>
    <row r="1" spans="2:7" ht="21.6" customHeight="1"/>
    <row r="2" spans="2:7" ht="51" customHeight="1">
      <c r="B2" s="145" t="s">
        <v>1</v>
      </c>
      <c r="C2" s="146"/>
    </row>
    <row r="3" spans="2:7" ht="13.5" customHeight="1">
      <c r="B3" s="147"/>
      <c r="C3" s="146"/>
    </row>
    <row r="4" spans="2:7" customFormat="1" ht="7.15" customHeight="1"/>
    <row r="5" spans="2:7" customFormat="1" ht="7.15" customHeight="1"/>
    <row r="6" spans="2:7" ht="30.75" customHeight="1">
      <c r="B6" s="340" t="str">
        <f>IF($D$5="product","Product or product group","Ingredient(s) or raw material(s) group")</f>
        <v>Ingredient(s) or raw material(s) group</v>
      </c>
      <c r="C6" s="341"/>
      <c r="D6" s="334" t="s">
        <v>2</v>
      </c>
      <c r="E6" s="335"/>
      <c r="F6" s="336"/>
    </row>
    <row r="7" spans="2:7" ht="32.25" customHeight="1">
      <c r="B7" s="342" t="s">
        <v>3</v>
      </c>
      <c r="C7" s="342"/>
      <c r="D7" s="337" t="s">
        <v>4</v>
      </c>
      <c r="E7" s="338"/>
      <c r="F7" s="339"/>
    </row>
    <row r="8" spans="2:7" ht="45" customHeight="1">
      <c r="B8" s="342" t="str">
        <f>IF(D5="Product","Site(s)","Manufacturing site")</f>
        <v>Manufacturing site</v>
      </c>
      <c r="C8" s="342"/>
      <c r="D8" s="343" t="s">
        <v>5</v>
      </c>
      <c r="E8" s="344"/>
      <c r="F8" s="345"/>
    </row>
    <row r="9" spans="2:7" ht="15">
      <c r="B9" s="148"/>
      <c r="C9" s="14"/>
      <c r="D9" s="13"/>
      <c r="E9" s="14"/>
      <c r="F9" s="13"/>
      <c r="G9" s="4"/>
    </row>
    <row r="10" spans="2:7" ht="27.75" customHeight="1">
      <c r="B10" s="149" t="s">
        <v>6</v>
      </c>
      <c r="C10" s="331" t="s">
        <v>7</v>
      </c>
      <c r="D10" s="332"/>
      <c r="E10" s="332"/>
      <c r="F10" s="333"/>
    </row>
    <row r="11" spans="2:7" ht="26.25" customHeight="1">
      <c r="B11" s="148"/>
      <c r="C11" s="331" t="s">
        <v>8</v>
      </c>
      <c r="D11" s="332"/>
      <c r="E11" s="332"/>
      <c r="F11" s="333"/>
    </row>
    <row r="12" spans="2:7" ht="17.45">
      <c r="B12" s="150"/>
      <c r="C12" s="24"/>
      <c r="D12" s="24"/>
      <c r="E12" s="24"/>
      <c r="F12" s="24"/>
      <c r="G12" s="4"/>
    </row>
    <row r="13" spans="2:7" ht="15.6">
      <c r="B13" s="149" t="s">
        <v>9</v>
      </c>
      <c r="C13" s="140">
        <f ca="1">TODAY()</f>
        <v>44552</v>
      </c>
      <c r="D13" s="137"/>
      <c r="E13" s="138"/>
      <c r="F13" s="139"/>
      <c r="G13" s="4"/>
    </row>
    <row r="14" spans="2:7" ht="15.6">
      <c r="B14" s="149" t="s">
        <v>10</v>
      </c>
      <c r="C14" s="140">
        <f ca="1">DATE(YEAR(C13)+1,MONTH(C13),DAY(C13))</f>
        <v>44917</v>
      </c>
      <c r="D14" s="138"/>
      <c r="E14" s="138"/>
      <c r="F14" s="139"/>
      <c r="G14" s="37"/>
    </row>
    <row r="15" spans="2:7" ht="13.9" thickBot="1">
      <c r="B15" s="146"/>
      <c r="D15" s="4"/>
      <c r="F15" s="4"/>
      <c r="G15" s="4"/>
    </row>
    <row r="16" spans="2:7" ht="27" thickBot="1">
      <c r="B16" s="151" t="s">
        <v>11</v>
      </c>
      <c r="E16" s="53" t="s">
        <v>12</v>
      </c>
      <c r="F16" s="4"/>
      <c r="G16" s="4"/>
    </row>
    <row r="17" spans="2:7">
      <c r="F17" s="4"/>
      <c r="G17" s="4"/>
    </row>
    <row r="18" spans="2:7" ht="28.5" customHeight="1">
      <c r="B18" s="323" t="s">
        <v>13</v>
      </c>
      <c r="C18" s="415"/>
      <c r="D18" s="324" t="str">
        <f>IF($D$6="Insert name of material or material group here","Insert group name at top of page",$D$6)</f>
        <v>Insert group name at top of page</v>
      </c>
      <c r="E18" s="325"/>
      <c r="F18" s="4"/>
      <c r="G18" s="4"/>
    </row>
    <row r="19" spans="2:7" ht="36.6" customHeight="1">
      <c r="B19" s="326" t="s">
        <v>14</v>
      </c>
      <c r="C19" s="416"/>
      <c r="D19" s="327" t="s">
        <v>15</v>
      </c>
      <c r="E19" s="327"/>
    </row>
    <row r="20" spans="2:7" ht="42.6" customHeight="1">
      <c r="B20" s="329" t="s">
        <v>16</v>
      </c>
      <c r="C20" s="330"/>
      <c r="D20" s="327" t="s">
        <v>17</v>
      </c>
      <c r="E20" s="327"/>
      <c r="F20" s="250"/>
    </row>
    <row r="21" spans="2:7" ht="37.5" customHeight="1">
      <c r="B21" s="328" t="str">
        <f>IF(D5="product","Product names and/or codes included in this assessment","Material names and/or codes included in this assessment")</f>
        <v>Material names and/or codes included in this assessment</v>
      </c>
      <c r="C21" s="417"/>
      <c r="D21" s="417"/>
      <c r="E21" s="418"/>
    </row>
    <row r="22" spans="2:7">
      <c r="B22" s="15" t="s">
        <v>18</v>
      </c>
      <c r="C22" s="16"/>
      <c r="D22" s="17"/>
      <c r="E22" s="18"/>
    </row>
    <row r="23" spans="2:7">
      <c r="B23" s="15"/>
      <c r="C23" s="15"/>
      <c r="D23" s="17"/>
      <c r="E23" s="18"/>
    </row>
    <row r="24" spans="2:7">
      <c r="B24" s="15"/>
      <c r="C24" s="16"/>
      <c r="D24" s="17"/>
      <c r="E24" s="18"/>
    </row>
    <row r="25" spans="2:7">
      <c r="B25" s="15"/>
      <c r="C25" s="15"/>
      <c r="D25" s="17"/>
      <c r="E25" s="18"/>
    </row>
    <row r="26" spans="2:7">
      <c r="B26" s="15"/>
      <c r="C26" s="16"/>
      <c r="D26" s="17"/>
      <c r="E26" s="18"/>
    </row>
    <row r="27" spans="2:7">
      <c r="B27" s="15"/>
      <c r="C27" s="15"/>
      <c r="D27" s="17"/>
      <c r="E27" s="18"/>
    </row>
    <row r="28" spans="2:7">
      <c r="B28" s="18"/>
      <c r="C28" s="18"/>
      <c r="D28" s="18"/>
      <c r="E28" s="18"/>
    </row>
    <row r="29" spans="2:7">
      <c r="B29" s="19"/>
      <c r="C29" s="19"/>
      <c r="D29" s="19"/>
      <c r="E29" s="19"/>
    </row>
    <row r="30" spans="2:7">
      <c r="B30" s="20"/>
      <c r="C30" s="20"/>
      <c r="D30" s="20"/>
      <c r="E30" s="20"/>
    </row>
    <row r="31" spans="2:7">
      <c r="B31" s="20"/>
      <c r="C31" s="20"/>
      <c r="D31" s="20"/>
      <c r="E31" s="20"/>
    </row>
    <row r="32" spans="2:7">
      <c r="B32" s="20"/>
      <c r="C32" s="20"/>
      <c r="D32" s="20"/>
      <c r="E32" s="20"/>
    </row>
    <row r="33" spans="2:5">
      <c r="B33" s="20"/>
      <c r="C33" s="20"/>
      <c r="D33" s="20"/>
      <c r="E33" s="20"/>
    </row>
    <row r="34" spans="2:5">
      <c r="B34" s="20"/>
      <c r="C34" s="20"/>
      <c r="D34" s="20"/>
      <c r="E34" s="20"/>
    </row>
    <row r="35" spans="2:5">
      <c r="B35" s="20"/>
      <c r="C35" s="20"/>
      <c r="D35" s="20"/>
      <c r="E35" s="20"/>
    </row>
    <row r="36" spans="2:5">
      <c r="B36" s="20"/>
      <c r="C36" s="20"/>
      <c r="D36" s="20"/>
      <c r="E36" s="20"/>
    </row>
    <row r="37" spans="2:5">
      <c r="B37" s="20"/>
      <c r="C37" s="20"/>
      <c r="D37" s="20"/>
      <c r="E37" s="20"/>
    </row>
    <row r="38" spans="2:5">
      <c r="B38" s="20"/>
      <c r="C38" s="20"/>
      <c r="D38" s="20"/>
      <c r="E38" s="20"/>
    </row>
    <row r="39" spans="2:5">
      <c r="B39" s="20"/>
      <c r="C39" s="20"/>
      <c r="D39" s="20"/>
      <c r="E39" s="20"/>
    </row>
    <row r="40" spans="2:5">
      <c r="B40" s="20"/>
      <c r="C40" s="20"/>
      <c r="D40" s="20"/>
      <c r="E40" s="20"/>
    </row>
    <row r="41" spans="2:5">
      <c r="B41" s="20"/>
      <c r="C41" s="20"/>
      <c r="D41" s="20"/>
      <c r="E41" s="20"/>
    </row>
    <row r="42" spans="2:5">
      <c r="B42" s="20"/>
      <c r="C42" s="20"/>
      <c r="D42" s="20"/>
      <c r="E42" s="20"/>
    </row>
    <row r="43" spans="2:5" ht="13.9" thickBot="1"/>
    <row r="44" spans="2:5" ht="27" thickBot="1">
      <c r="B44" s="53" t="s">
        <v>12</v>
      </c>
    </row>
  </sheetData>
  <sheetProtection algorithmName="SHA-512" hashValue="wWnwoZzpZjEyzLTXJ4bxwoQWoo8cnF0rP7QjOd+So094S8Qea2KHP8fAVXfZdwPPYMHtAhi4wSQ6aV9p8FabYg==" saltValue="eSjdr5SwqDdQiR+Z/T9tGw==" spinCount="100000" sheet="1" selectLockedCells="1"/>
  <mergeCells count="15">
    <mergeCell ref="C10:F10"/>
    <mergeCell ref="C11:F11"/>
    <mergeCell ref="D6:F6"/>
    <mergeCell ref="D7:F7"/>
    <mergeCell ref="B6:C6"/>
    <mergeCell ref="B8:C8"/>
    <mergeCell ref="D8:F8"/>
    <mergeCell ref="B7:C7"/>
    <mergeCell ref="B18:C18"/>
    <mergeCell ref="D18:E18"/>
    <mergeCell ref="B19:C19"/>
    <mergeCell ref="D19:E19"/>
    <mergeCell ref="B21:E21"/>
    <mergeCell ref="B20:C20"/>
    <mergeCell ref="D20:E20"/>
  </mergeCells>
  <hyperlinks>
    <hyperlink ref="E16" location="Instructions!A5" display="Back to Instructions page" xr:uid="{00000000-0004-0000-0100-000000000000}"/>
    <hyperlink ref="B44" location="Instructions!A5" display="Back to Instructions page" xr:uid="{00000000-0004-0000-0100-000004000000}"/>
  </hyperlinks>
  <pageMargins left="0.25" right="0.25" top="0.75" bottom="0.75" header="0.3" footer="0.3"/>
  <pageSetup paperSize="9" orientation="portrait" r:id="rId1"/>
  <headerFooter>
    <oddHeader>&amp;C&amp;K00B050Vulnerability Assessment Tool, Food Fraud Advisors 2018</oddHeader>
  </headerFooter>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24DB-F85B-43A2-9874-B9044F4931FE}">
  <sheetPr codeName="Sheet2"/>
  <dimension ref="A2:U31"/>
  <sheetViews>
    <sheetView showGridLines="0" showRowColHeaders="0" zoomScale="80" zoomScaleNormal="80" workbookViewId="0">
      <pane ySplit="8" topLeftCell="A9" activePane="bottomLeft" state="frozen"/>
      <selection pane="bottomLeft" activeCell="F10" sqref="F10"/>
    </sheetView>
  </sheetViews>
  <sheetFormatPr defaultColWidth="9.140625" defaultRowHeight="13.15"/>
  <cols>
    <col min="1" max="1" width="9.140625" style="39"/>
    <col min="2" max="2" width="7.7109375" style="90" customWidth="1"/>
    <col min="3" max="3" width="17" style="75" customWidth="1"/>
    <col min="4" max="4" width="21.5703125" style="75" customWidth="1"/>
    <col min="5" max="5" width="9.140625" style="75"/>
    <col min="6" max="6" width="16.85546875" style="82" customWidth="1"/>
    <col min="7" max="7" width="11.140625" style="296" hidden="1" customWidth="1"/>
    <col min="8" max="8" width="36.7109375" style="297" hidden="1" customWidth="1"/>
    <col min="9" max="9" width="30.5703125" style="75" customWidth="1"/>
    <col min="10" max="10" width="101.5703125" style="63" customWidth="1"/>
    <col min="11" max="16384" width="9.140625" style="1"/>
  </cols>
  <sheetData>
    <row r="2" spans="2:21" ht="15.6">
      <c r="B2" s="54" t="s">
        <v>19</v>
      </c>
      <c r="C2" s="55"/>
      <c r="D2" s="55"/>
      <c r="E2" s="78"/>
      <c r="F2" s="79"/>
      <c r="G2" s="291"/>
      <c r="H2" s="292"/>
      <c r="I2" s="55"/>
      <c r="J2" s="91"/>
      <c r="M2" s="75"/>
      <c r="P2" s="75"/>
      <c r="R2" s="75"/>
      <c r="U2" s="75"/>
    </row>
    <row r="3" spans="2:21" ht="25.5" customHeight="1">
      <c r="B3" s="56" t="str">
        <f>IF('Scope worksheet'!D6="Insert name of material or material group here","Insert material name on Scope Worksheet",'Scope worksheet'!D6)</f>
        <v>Insert material name on Scope Worksheet</v>
      </c>
      <c r="C3" s="57"/>
      <c r="D3" s="57"/>
      <c r="E3" s="80"/>
      <c r="F3" s="81"/>
      <c r="G3" s="293"/>
      <c r="H3" s="294"/>
      <c r="I3" s="58"/>
      <c r="J3" s="92"/>
      <c r="K3" s="346"/>
      <c r="L3" s="346"/>
      <c r="M3" s="346"/>
      <c r="N3" s="347"/>
      <c r="O3" s="346"/>
      <c r="P3" s="347"/>
      <c r="T3" s="59"/>
    </row>
    <row r="4" spans="2:21" ht="21.75" customHeight="1">
      <c r="B4" s="88" t="s">
        <v>20</v>
      </c>
      <c r="C4" s="89"/>
      <c r="D4" s="89"/>
      <c r="E4" s="89"/>
      <c r="F4" s="89"/>
      <c r="G4" s="295"/>
      <c r="H4" s="295"/>
      <c r="I4" s="89"/>
      <c r="J4" s="93"/>
      <c r="T4" s="59"/>
    </row>
    <row r="5" spans="2:21" ht="3.75" customHeight="1">
      <c r="C5" s="60"/>
      <c r="D5" s="61"/>
      <c r="E5" s="61"/>
      <c r="I5" s="61"/>
      <c r="J5" s="62"/>
      <c r="K5" s="12"/>
      <c r="L5" s="12"/>
      <c r="T5" s="59"/>
    </row>
    <row r="6" spans="2:21" ht="3.75" customHeight="1">
      <c r="C6" s="61"/>
      <c r="D6" s="61"/>
      <c r="E6" s="61"/>
      <c r="I6" s="61"/>
      <c r="J6" s="62"/>
      <c r="K6" s="12"/>
      <c r="L6" s="12"/>
      <c r="N6" s="12"/>
      <c r="T6" s="59"/>
    </row>
    <row r="7" spans="2:21" ht="3.75" customHeight="1">
      <c r="C7" s="61"/>
      <c r="D7" s="60"/>
      <c r="N7" s="12"/>
      <c r="T7" s="59"/>
    </row>
    <row r="8" spans="2:21" ht="3.75" customHeight="1">
      <c r="C8" s="61"/>
      <c r="D8" s="64"/>
      <c r="N8" s="12"/>
      <c r="T8" s="59"/>
    </row>
    <row r="9" spans="2:21" s="67" customFormat="1" ht="31.5" customHeight="1">
      <c r="B9" s="348" t="s">
        <v>21</v>
      </c>
      <c r="C9" s="349"/>
      <c r="D9" s="65" t="s">
        <v>22</v>
      </c>
      <c r="E9" s="65" t="s">
        <v>23</v>
      </c>
      <c r="F9" s="83" t="s">
        <v>24</v>
      </c>
      <c r="G9" s="298"/>
      <c r="H9" s="298"/>
      <c r="I9" s="66" t="s">
        <v>25</v>
      </c>
      <c r="J9" s="66" t="s">
        <v>26</v>
      </c>
      <c r="L9"/>
      <c r="M9"/>
      <c r="N9"/>
      <c r="T9" s="68"/>
    </row>
    <row r="10" spans="2:21" ht="52.9">
      <c r="B10" s="34" t="s">
        <v>27</v>
      </c>
      <c r="C10" s="34" t="s">
        <v>28</v>
      </c>
      <c r="D10" s="69" t="s">
        <v>29</v>
      </c>
      <c r="E10" s="202" t="s">
        <v>30</v>
      </c>
      <c r="F10" s="179"/>
      <c r="G10" s="299">
        <f>IF(F10="",100,IF(F10="no",0,IF(F10="yes many incidences",5,3)))</f>
        <v>100</v>
      </c>
      <c r="H10" s="300" t="s">
        <v>31</v>
      </c>
      <c r="I10" s="71" t="str">
        <f>IF(ISERROR($G$25),"Warning; an error has occurred. Avoid using cut and paste functions. Press 'undo' or revert to last saved copy to correct the error",IF('Occurrence worksheet'!F10="yes many incidences","This material has been implicated in many previous incidences of food fraud.",IF('Occurrence worksheet'!F10="a few incidences","This material has been implicated in a few previous incidences of food fraud.",IF('Occurrence worksheet'!F10="no","This material has not been implicated in previous incidences of food fraud.",""))))</f>
        <v/>
      </c>
      <c r="J10" s="76"/>
      <c r="L10"/>
      <c r="M10"/>
      <c r="N10"/>
      <c r="T10" s="59"/>
    </row>
    <row r="11" spans="2:21" ht="57.6" customHeight="1">
      <c r="B11" s="34" t="s">
        <v>32</v>
      </c>
      <c r="C11" s="34" t="s">
        <v>33</v>
      </c>
      <c r="D11" s="69" t="s">
        <v>34</v>
      </c>
      <c r="E11" s="202" t="s">
        <v>30</v>
      </c>
      <c r="F11" s="180"/>
      <c r="G11" s="301" t="str">
        <f>IF(F11="","",IF(F11="no",0,1))</f>
        <v/>
      </c>
      <c r="H11" s="300" t="s">
        <v>35</v>
      </c>
      <c r="I11" s="71" t="str">
        <f>IF(ISERROR($G$25),"Warning; an error has occurred. Avoid using cut and paste functions. Press 'undo' or revert to last saved copy to correct the error",IF('Occurrence worksheet'!F11="yes","There have been recent alerts and/or news about food fraud for this material.",IF('Occurrence worksheet'!F11="no","There has been no recent news and no recent alerts about food fraud for this material.","")))</f>
        <v/>
      </c>
      <c r="J11" s="87"/>
      <c r="L11"/>
      <c r="M11"/>
      <c r="N11"/>
      <c r="T11" s="59"/>
    </row>
    <row r="12" spans="2:21" ht="60" customHeight="1">
      <c r="B12" s="34" t="s">
        <v>36</v>
      </c>
      <c r="C12" s="34" t="s">
        <v>37</v>
      </c>
      <c r="D12" s="72" t="s">
        <v>38</v>
      </c>
      <c r="E12" s="202" t="s">
        <v>39</v>
      </c>
      <c r="F12" s="179"/>
      <c r="G12" s="301" t="str">
        <f>IF(F12="","",IF(F12="no",0,IF(F12="somewhat large",0.5,1)))</f>
        <v/>
      </c>
      <c r="H12" s="300" t="s">
        <v>40</v>
      </c>
      <c r="I12" s="71" t="str">
        <f>IF(ISERROR($G$25),"Warning; an error has occurred. Avoid using cut and paste functions. Press 'undo' or revert to last saved copy to correct the error",IF('Occurrence worksheet'!F12="yes very large","The international market for this material has a large monetary value.",IF('Occurrence worksheet'!F12="somewhat large","The international market for this material has a moderately large monetary value.",IF('Occurrence worksheet'!F12="no","The international market for this material does not have a large monetary value.",""))))</f>
        <v/>
      </c>
      <c r="J12" s="87"/>
      <c r="L12"/>
      <c r="M12"/>
      <c r="N12"/>
      <c r="T12" s="59"/>
    </row>
    <row r="13" spans="2:21" ht="26.45">
      <c r="B13" s="34" t="s">
        <v>41</v>
      </c>
      <c r="C13" s="32" t="s">
        <v>42</v>
      </c>
      <c r="D13" s="69" t="s">
        <v>43</v>
      </c>
      <c r="E13" s="202" t="s">
        <v>39</v>
      </c>
      <c r="F13" s="179"/>
      <c r="G13" s="301" t="str">
        <f>IF(F13="","",IF(F13="no",0,IF(F13="somewhat expensive",0.5,1)))</f>
        <v/>
      </c>
      <c r="H13" s="300" t="s">
        <v>44</v>
      </c>
      <c r="I13" s="71" t="str">
        <f>IF(ISERROR($G$25),"Warning; an error has occurred. Avoid using cut and paste functions. Press 'undo' or revert to last saved copy to correct the error",IF('Occurrence worksheet'!F13="yes very expensive","This material is very expensive.",IF('Occurrence worksheet'!F13="somewhat expensive","This material is somewhat expensive.",IF('Occurrence worksheet'!F13="no","This material is not expensive.",""))))</f>
        <v/>
      </c>
      <c r="J13" s="87"/>
      <c r="L13"/>
      <c r="M13"/>
      <c r="N13"/>
      <c r="T13" s="59"/>
    </row>
    <row r="14" spans="2:21" ht="52.9">
      <c r="B14" s="34" t="s">
        <v>45</v>
      </c>
      <c r="C14" s="34" t="s">
        <v>46</v>
      </c>
      <c r="D14" s="85" t="s">
        <v>47</v>
      </c>
      <c r="E14" s="203"/>
      <c r="F14" s="180"/>
      <c r="G14" s="301" t="str">
        <f>IF(F14="","",IF(F14="no",0,1))</f>
        <v/>
      </c>
      <c r="H14" s="300" t="s">
        <v>35</v>
      </c>
      <c r="I14" s="71" t="str">
        <f>IF(ISERROR($G$25),"Warning; an error has occurred. Avoid using cut and paste functions. Press 'undo' or revert to last saved copy to correct the error",IF('Occurrence worksheet'!F14="yes","The price of this material is subject to frequent, large fluctuations.",IF('Occurrence worksheet'!F14="no","The price of this material does not experience frequent, large fluctuations.","")))</f>
        <v/>
      </c>
      <c r="J14" s="87"/>
      <c r="L14"/>
      <c r="M14"/>
      <c r="N14"/>
      <c r="T14" s="59"/>
    </row>
    <row r="15" spans="2:21" ht="39.6">
      <c r="B15" s="34" t="s">
        <v>48</v>
      </c>
      <c r="C15" s="33" t="s">
        <v>49</v>
      </c>
      <c r="D15" s="69" t="s">
        <v>50</v>
      </c>
      <c r="E15" s="202" t="s">
        <v>39</v>
      </c>
      <c r="F15" s="180"/>
      <c r="G15" s="301" t="str">
        <f>IF(F15="","",IF(F15="no",0,1))</f>
        <v/>
      </c>
      <c r="H15" s="300" t="s">
        <v>35</v>
      </c>
      <c r="I15" s="71" t="str">
        <f>IF(ISERROR($G$25),"Warning; an error has occurred. Avoid using cut and paste functions. Press 'undo' or revert to last saved copy to correct the error",IF('Occurrence worksheet'!F15="yes","This material is traded with the price linked to specific properties.",IF('Occurrence worksheet'!F15="no","This material is not traded on specific properties such as nitrogen content.","")))</f>
        <v/>
      </c>
      <c r="J15" s="87"/>
      <c r="L15"/>
      <c r="M15"/>
      <c r="N15"/>
      <c r="T15" s="59"/>
    </row>
    <row r="16" spans="2:21" ht="63.6" customHeight="1">
      <c r="B16" s="34" t="s">
        <v>51</v>
      </c>
      <c r="C16" s="32" t="s">
        <v>52</v>
      </c>
      <c r="D16" s="72" t="s">
        <v>53</v>
      </c>
      <c r="E16" s="202" t="s">
        <v>39</v>
      </c>
      <c r="F16" s="180"/>
      <c r="G16" s="301" t="str">
        <f>IF(F16="","",IF(F16="no",0,1))</f>
        <v/>
      </c>
      <c r="H16" s="300" t="s">
        <v>35</v>
      </c>
      <c r="I16" s="71" t="str">
        <f>IF(ISERROR($G$25),"Warning; an error has occurred. Avoid using cut and paste functions. Press 'undo' or revert to last saved copy to correct the error",IF('Occurrence worksheet'!F16="yes","This material is sourced from countries or regions that are politically unstable and/or very poor.",IF('Occurrence worksheet'!F16="no","This material is not sourced from countries or regions that are politically unstable or very poor.","")))</f>
        <v/>
      </c>
      <c r="J16" s="87"/>
      <c r="L16"/>
      <c r="M16"/>
      <c r="N16"/>
      <c r="P16" s="12"/>
      <c r="T16" s="59"/>
    </row>
    <row r="17" spans="2:20" ht="51" customHeight="1">
      <c r="B17" s="34" t="s">
        <v>54</v>
      </c>
      <c r="C17" s="34" t="s">
        <v>55</v>
      </c>
      <c r="D17" s="85" t="s">
        <v>56</v>
      </c>
      <c r="E17" s="245" t="s">
        <v>39</v>
      </c>
      <c r="F17" s="180"/>
      <c r="G17" s="301" t="str">
        <f>IF(F17="","",IF(F17="no",0,1))</f>
        <v/>
      </c>
      <c r="H17" s="300" t="s">
        <v>35</v>
      </c>
      <c r="I17" s="71" t="str">
        <f>IF(ISERROR($G$25),"Warning; an error has occurred. Avoid using cut and paste functions. Press 'undo' or revert to last saved copy to correct the error",IF('Occurrence worksheet'!F17="yes","This material is subject to seasonal supply issues.",IF('Occurrence worksheet'!F17="no","This material is not subject to significant seasonal supply issues.","")))</f>
        <v/>
      </c>
      <c r="J17" s="87"/>
      <c r="L17"/>
      <c r="M17"/>
      <c r="N17"/>
      <c r="P17" s="12"/>
      <c r="T17" s="59"/>
    </row>
    <row r="18" spans="2:20" ht="67.150000000000006" customHeight="1">
      <c r="B18" s="34" t="s">
        <v>57</v>
      </c>
      <c r="C18" s="34" t="s">
        <v>58</v>
      </c>
      <c r="D18" s="85" t="s">
        <v>59</v>
      </c>
      <c r="E18" s="202" t="s">
        <v>39</v>
      </c>
      <c r="F18" s="180"/>
      <c r="G18" s="301" t="str">
        <f>IF(F18="","",IF(F18="yes",0,1))</f>
        <v/>
      </c>
      <c r="H18" s="300" t="s">
        <v>60</v>
      </c>
      <c r="I18" s="71" t="str">
        <f>IF(ISERROR($G$26),"Warning; an error has occurred. Avoid using cut and paste functions. Press 'undo' or revert to last saved copy to correct the error",IF('Occurrence worksheet'!F18="yes","This material is sourced directly from the manufacturer or grower.",IF('Occurrence worksheet'!F18="no","This material is not sourced directly from the manufacturer or grower but rather from a wholesaler, distributor, importer, broker or trader.","")))</f>
        <v/>
      </c>
      <c r="J18" s="87"/>
      <c r="L18"/>
      <c r="M18"/>
      <c r="N18"/>
      <c r="T18" s="59"/>
    </row>
    <row r="19" spans="2:20" ht="59.45" customHeight="1">
      <c r="B19" s="34" t="s">
        <v>61</v>
      </c>
      <c r="C19" s="33" t="s">
        <v>62</v>
      </c>
      <c r="D19" s="69" t="s">
        <v>63</v>
      </c>
      <c r="E19" s="202" t="s">
        <v>39</v>
      </c>
      <c r="F19" s="179"/>
      <c r="G19" s="301" t="str">
        <f>IF(F19="","",IF(F19="no",0,IF(F19="somewhat complex",0.5,1)))</f>
        <v/>
      </c>
      <c r="H19" s="300" t="s">
        <v>64</v>
      </c>
      <c r="I19" s="71" t="str">
        <f>IF(ISERROR($G$26),"Warning; an error has occurred. Avoid using cut and paste functions. Press 'undo' or revert to last saved copy to correct the error",IF('Occurrence worksheet'!F19="yes very complex and/or long","The supply chain is very complex and/or long.",IF('Occurrence worksheet'!F19="somewhat complex","The supply chain is somewhat complex or long.",IF('Occurrence worksheet'!F19="no","The supply chain is relatively simple and short.",""))))</f>
        <v/>
      </c>
      <c r="J19" s="87"/>
      <c r="L19"/>
      <c r="M19"/>
      <c r="N19"/>
      <c r="T19" s="59"/>
    </row>
    <row r="20" spans="2:20" ht="64.150000000000006" customHeight="1">
      <c r="B20" s="34" t="s">
        <v>65</v>
      </c>
      <c r="C20" s="34" t="s">
        <v>66</v>
      </c>
      <c r="D20" s="72" t="s">
        <v>67</v>
      </c>
      <c r="E20" s="202" t="s">
        <v>39</v>
      </c>
      <c r="F20" s="179"/>
      <c r="G20" s="301" t="str">
        <f>IF(F20="","",IF(F20="no",0,IF(F20="some entry points",0.5,1)))</f>
        <v/>
      </c>
      <c r="H20" s="261" t="s">
        <v>68</v>
      </c>
      <c r="I20" s="71" t="str">
        <f>IF(ISERROR($G$26),"Warning; an error has occurred. Avoid using cut and paste functions. Press 'undo' or revert to last saved copy to correct the error",IF('Occurrence worksheet'!F20="yes many entry points","The supply chain has multiple points at which fraudulent material could enter.",IF('Occurrence worksheet'!F20="some entry points","The supply chain has some points that could allow entry of fraudulent material.",IF('Occurrence worksheet'!F20="no","The supply chain does not have easy entry points for fraudulent material.",""))))</f>
        <v/>
      </c>
      <c r="J20" s="87"/>
      <c r="L20"/>
      <c r="M20"/>
      <c r="N20"/>
      <c r="T20" s="59"/>
    </row>
    <row r="21" spans="2:20" ht="52.9" customHeight="1">
      <c r="B21" s="34" t="s">
        <v>69</v>
      </c>
      <c r="C21" s="34" t="s">
        <v>70</v>
      </c>
      <c r="D21" s="72" t="s">
        <v>71</v>
      </c>
      <c r="E21" s="202" t="s">
        <v>39</v>
      </c>
      <c r="F21" s="180"/>
      <c r="G21" s="301" t="str">
        <f>IF(F21="","",IF(F21="no",0,1))</f>
        <v/>
      </c>
      <c r="H21" s="300" t="s">
        <v>35</v>
      </c>
      <c r="I21" s="71" t="str">
        <f>IF(ISERROR($G$26),"Warning; an error has occurred. Avoid using cut and paste functions. Press 'undo' or revert to last saved copy to correct the error",IF('Occurrence worksheet'!F21="yes","Potential adulterants and/or substitute materials are cheap and easily available.",IF('Occurrence worksheet'!F21="no","For this material, potential adulterants and/or substitute materials do not seem to be cheap and/or easily available.","")))</f>
        <v/>
      </c>
      <c r="J21" s="87"/>
      <c r="L21"/>
      <c r="M21"/>
      <c r="N21"/>
      <c r="T21" s="59"/>
    </row>
    <row r="22" spans="2:20" ht="76.150000000000006" customHeight="1">
      <c r="B22" s="34" t="s">
        <v>72</v>
      </c>
      <c r="C22" s="34" t="s">
        <v>73</v>
      </c>
      <c r="D22" s="72" t="s">
        <v>74</v>
      </c>
      <c r="E22" s="202" t="s">
        <v>39</v>
      </c>
      <c r="F22" s="260"/>
      <c r="G22" s="301" t="str">
        <f>IF(F22="","",IF(F22="no",0,IF(F22="somewhat cheap and simple",0.5,1)))</f>
        <v/>
      </c>
      <c r="H22" s="300" t="s">
        <v>75</v>
      </c>
      <c r="I22" s="71" t="str">
        <f>IF(ISERROR($G$26),"Warning; an error has occurred. Avoid using cut and paste functions. Press 'undo' or revert to last saved copy to correct the error",IF(F22="yes very cheap and simple","This material would be cheap and/or simple to fraudulently adulterate, substitute, dilute or misrepresent.",IF(F22="somewhat cheap and simple","It would not be too difficult to fraudulently adulterate, substitute or dilute this material.",IF(F22="no","This material would be difficult to fraudulently adulterate, substitute, dilute or misrepresent.",""))))</f>
        <v/>
      </c>
      <c r="J22" s="87"/>
      <c r="L22"/>
      <c r="M22"/>
      <c r="N22"/>
      <c r="T22" s="59"/>
    </row>
    <row r="23" spans="2:20" ht="77.45" customHeight="1">
      <c r="B23" s="34" t="s">
        <v>76</v>
      </c>
      <c r="C23" s="34" t="str">
        <f>IF('Scope worksheet'!D5="product","Form of product","Form of ingredient")</f>
        <v>Form of ingredient</v>
      </c>
      <c r="D23" s="85" t="s">
        <v>77</v>
      </c>
      <c r="E23" s="202" t="s">
        <v>39</v>
      </c>
      <c r="F23" s="180"/>
      <c r="G23" s="301" t="str">
        <f>IF(F23="","",IF(F23="yes",0,2))</f>
        <v/>
      </c>
      <c r="H23" s="300" t="s">
        <v>78</v>
      </c>
      <c r="I23" s="71" t="str">
        <f>IF(ISERROR($G$26),"Warning; an error has occurred. Avoid using cut and paste functions. Press 'undo' or revert to last saved copy to correct the error",IF('Occurrence worksheet'!F23="yes","This material is purchased in whole discrete pieces rather than as a powder, liquid, mince, paste, pre-mix, slurry or blend.",IF('Occurrence worksheet'!F23="no","This material is purchased as a powder, liquid, mince, paste, pre-mix, slurry or blend rather than in whole discrete pieces.","")))</f>
        <v/>
      </c>
      <c r="J23" s="87"/>
      <c r="L23"/>
      <c r="M23"/>
      <c r="N23"/>
      <c r="T23" s="59"/>
    </row>
    <row r="24" spans="2:20" ht="54.6" customHeight="1">
      <c r="B24" s="34" t="s">
        <v>79</v>
      </c>
      <c r="C24" s="33" t="s">
        <v>80</v>
      </c>
      <c r="D24" s="85" t="s">
        <v>81</v>
      </c>
      <c r="E24" s="202" t="s">
        <v>39</v>
      </c>
      <c r="F24" s="180"/>
      <c r="G24" s="301" t="str">
        <f>IF(F24="","",IF(F24="no",0,1))</f>
        <v/>
      </c>
      <c r="H24" s="300" t="s">
        <v>35</v>
      </c>
      <c r="I24" s="71" t="str">
        <f>IF(ISERROR($G$26),"Warning; an error has occurred. Avoid using cut and paste functions. Press 'undo' or revert to last saved copy to correct the error",IF('Occurrence worksheet'!F24="yes","This material is purchased according to special criteria such as halal and/or organic status.",IF('Occurrence worksheet'!F24="no","There are no special purchasing criteria such as halal and/or organic status for this material.","")))</f>
        <v/>
      </c>
      <c r="J24" s="87"/>
      <c r="T24" s="59"/>
    </row>
    <row r="25" spans="2:20" ht="58.9" hidden="1" customHeight="1">
      <c r="C25" s="34" t="s">
        <v>82</v>
      </c>
      <c r="D25" s="72"/>
      <c r="E25" s="70"/>
      <c r="F25" s="73">
        <f>G25</f>
        <v>100</v>
      </c>
      <c r="G25" s="262">
        <f>(IF((SUM(G10:G24)/(COUNT(G10:G24)+0.00001)*100)&gt;100,100,SUM(G10:G24)/(COUNT(G10:G24)+0.00001)*100))</f>
        <v>100</v>
      </c>
      <c r="H25" s="302" t="str">
        <f>IF(AND(G25&gt;=-40,G25&lt;=20),"Very unlikely",IF(AND(G25&gt;20,G25&lt;=40),"Unlikely",IF(AND(G25&gt;40,G25&lt;=60),"Fairly likely",IF(AND(G25&gt;60,G25&lt;=80),"Likely",IF(AND(G25&gt;80,G25&lt;=100),"Very likely/certain","ERROR")))))</f>
        <v>Very likely/certain</v>
      </c>
      <c r="I25" s="73" t="s">
        <v>83</v>
      </c>
      <c r="J25" s="178"/>
    </row>
    <row r="26" spans="2:20" ht="63" customHeight="1">
      <c r="B26" s="34" t="s">
        <v>84</v>
      </c>
      <c r="C26" s="34" t="s">
        <v>85</v>
      </c>
      <c r="D26" s="72" t="s">
        <v>86</v>
      </c>
      <c r="E26" s="303" t="s">
        <v>39</v>
      </c>
      <c r="F26" s="84" t="str">
        <f>G26</f>
        <v>Very likely/certain (calculated)</v>
      </c>
      <c r="G26" s="262" t="str">
        <f>IF(AND(G25&gt;=-40,G25&lt;=20),"Very unlikely (calculated)",IF(AND(G25&gt;20,G25&lt;=40),"Unlikely (calculated)",IF(AND(G25&gt;40,G25&lt;=60),"Fairly likely (calculated)",IF(AND(G25&gt;60,G25&lt;=80),"Likely (calculated)",IF(AND(G25&gt;80,G25&lt;=100),"Very likely/certain (calculated)","ERROR")))))</f>
        <v>Very likely/certain (calculated)</v>
      </c>
      <c r="H26" s="300" t="s">
        <v>87</v>
      </c>
      <c r="I26" s="350" t="str">
        <f>IF(ISERROR($G$25),"Warning; an error has occurred. Avoid using cut and paste functions. Press 'undo' or revert to last saved copy to correct the error",H27)</f>
        <v>Very likely/certain to be affected</v>
      </c>
      <c r="J26" s="352" t="s">
        <v>88</v>
      </c>
      <c r="K26" s="12"/>
    </row>
    <row r="27" spans="2:20" ht="82.15" customHeight="1">
      <c r="B27" s="34" t="s">
        <v>89</v>
      </c>
      <c r="C27" s="34" t="s">
        <v>90</v>
      </c>
      <c r="D27" s="69" t="s">
        <v>91</v>
      </c>
      <c r="E27" s="69"/>
      <c r="F27" s="181"/>
      <c r="G27" s="262" t="str">
        <f>IF(F27="",H25,F27)</f>
        <v>Very likely/certain</v>
      </c>
      <c r="H27" s="302" t="str">
        <f>IF(G27="Very unlikely","Very unlikely to be affected",IF(G27="Unlikely","Unlikely to be affected",IF(G27="Fairly likely","Fairly likely to be affected",IF(G27="Likely","Likely to be affected",IF(G27="Very likely/certain","Very likely/certain to be affected",_xludf.error)))))</f>
        <v>Very likely/certain to be affected</v>
      </c>
      <c r="I27" s="351"/>
      <c r="J27" s="353"/>
    </row>
    <row r="28" spans="2:20" ht="22.5" customHeight="1" thickBot="1">
      <c r="C28" s="74"/>
      <c r="D28" s="64"/>
      <c r="E28" s="64"/>
    </row>
    <row r="29" spans="2:20" ht="27" thickBot="1">
      <c r="C29" s="53" t="s">
        <v>12</v>
      </c>
    </row>
    <row r="30" spans="2:20" ht="13.9" thickBot="1"/>
    <row r="31" spans="2:20" ht="45" customHeight="1" thickBot="1">
      <c r="C31" s="53" t="s">
        <v>92</v>
      </c>
    </row>
  </sheetData>
  <sheetProtection algorithmName="SHA-512" hashValue="lIHx2Sw6gpdWOc/gcOmL7tS+F/HAgfU2Qvh9Q8bs4idYxJO/vgqsaX2Osiv/vCc1kEkTaLw8bZGj8VSeKqn4aA==" saltValue="Nzx/uqV5jCa+JpwTGL+CmQ==" spinCount="100000" sheet="1" selectLockedCells="1"/>
  <mergeCells count="6">
    <mergeCell ref="K3:L3"/>
    <mergeCell ref="M3:N3"/>
    <mergeCell ref="O3:P3"/>
    <mergeCell ref="B9:C9"/>
    <mergeCell ref="I26:I27"/>
    <mergeCell ref="J26:J27"/>
  </mergeCells>
  <conditionalFormatting sqref="I25">
    <cfRule type="cellIs" dxfId="183" priority="104" operator="equal">
      <formula>"Warning! A serious error has occurred. Press 'undo' or revert to last saved copy to correct the error"</formula>
    </cfRule>
  </conditionalFormatting>
  <conditionalFormatting sqref="I25">
    <cfRule type="cellIs" dxfId="182" priority="103" operator="equal">
      <formula>"Avoid using 'cut' or 'drag and drop' functions"</formula>
    </cfRule>
  </conditionalFormatting>
  <conditionalFormatting sqref="I10:I21 I23:I27">
    <cfRule type="cellIs" dxfId="181" priority="102" operator="equal">
      <formula>"Warning; an error has occurred. Avoid using cut and paste functions. Press 'undo' or revert to last saved copy to correct the error"</formula>
    </cfRule>
  </conditionalFormatting>
  <conditionalFormatting sqref="F13">
    <cfRule type="cellIs" dxfId="180" priority="97" operator="equal">
      <formula>"no"</formula>
    </cfRule>
  </conditionalFormatting>
  <conditionalFormatting sqref="F13">
    <cfRule type="cellIs" dxfId="179" priority="98" operator="equal">
      <formula>"somewhat expensive"</formula>
    </cfRule>
  </conditionalFormatting>
  <conditionalFormatting sqref="F13">
    <cfRule type="cellIs" dxfId="178" priority="99" operator="equal">
      <formula>"yes very expensive"</formula>
    </cfRule>
  </conditionalFormatting>
  <conditionalFormatting sqref="F12">
    <cfRule type="cellIs" dxfId="177" priority="94" operator="equal">
      <formula>"no"</formula>
    </cfRule>
  </conditionalFormatting>
  <conditionalFormatting sqref="F12">
    <cfRule type="cellIs" dxfId="176" priority="95" operator="equal">
      <formula>"somewhat large"</formula>
    </cfRule>
  </conditionalFormatting>
  <conditionalFormatting sqref="F12">
    <cfRule type="cellIs" dxfId="175" priority="96" operator="equal">
      <formula>"yes very large"</formula>
    </cfRule>
  </conditionalFormatting>
  <conditionalFormatting sqref="F23">
    <cfRule type="cellIs" dxfId="174" priority="92" operator="equal">
      <formula>"no"</formula>
    </cfRule>
  </conditionalFormatting>
  <conditionalFormatting sqref="F23">
    <cfRule type="cellIs" dxfId="173" priority="93" operator="equal">
      <formula>"yes"</formula>
    </cfRule>
  </conditionalFormatting>
  <conditionalFormatting sqref="F17">
    <cfRule type="cellIs" dxfId="172" priority="90" operator="equal">
      <formula>"yes"</formula>
    </cfRule>
  </conditionalFormatting>
  <conditionalFormatting sqref="F17">
    <cfRule type="cellIs" dxfId="171" priority="91" operator="equal">
      <formula>"no"</formula>
    </cfRule>
  </conditionalFormatting>
  <conditionalFormatting sqref="F24">
    <cfRule type="cellIs" dxfId="170" priority="88" operator="equal">
      <formula>"yes"</formula>
    </cfRule>
  </conditionalFormatting>
  <conditionalFormatting sqref="F24">
    <cfRule type="cellIs" dxfId="169" priority="89" operator="equal">
      <formula>"no"</formula>
    </cfRule>
  </conditionalFormatting>
  <conditionalFormatting sqref="F21">
    <cfRule type="cellIs" dxfId="168" priority="86" operator="equal">
      <formula>"yes"</formula>
    </cfRule>
  </conditionalFormatting>
  <conditionalFormatting sqref="F21">
    <cfRule type="cellIs" dxfId="167" priority="87" operator="equal">
      <formula>"no"</formula>
    </cfRule>
  </conditionalFormatting>
  <conditionalFormatting sqref="F20">
    <cfRule type="cellIs" dxfId="166" priority="83" operator="equal">
      <formula>"no"</formula>
    </cfRule>
  </conditionalFormatting>
  <conditionalFormatting sqref="F20">
    <cfRule type="cellIs" dxfId="165" priority="84" operator="equal">
      <formula>"some entry points"</formula>
    </cfRule>
  </conditionalFormatting>
  <conditionalFormatting sqref="F20">
    <cfRule type="cellIs" dxfId="164" priority="85" operator="equal">
      <formula>"yes many entry points"</formula>
    </cfRule>
  </conditionalFormatting>
  <conditionalFormatting sqref="F19">
    <cfRule type="cellIs" dxfId="163" priority="80" operator="equal">
      <formula>"no"</formula>
    </cfRule>
  </conditionalFormatting>
  <conditionalFormatting sqref="F19">
    <cfRule type="cellIs" dxfId="162" priority="81" operator="equal">
      <formula>"somewhat complex"</formula>
    </cfRule>
  </conditionalFormatting>
  <conditionalFormatting sqref="F19">
    <cfRule type="cellIs" dxfId="161" priority="82" operator="equal">
      <formula>"yes very complex and/or long"</formula>
    </cfRule>
  </conditionalFormatting>
  <conditionalFormatting sqref="F18">
    <cfRule type="cellIs" dxfId="160" priority="78" operator="equal">
      <formula>"no"</formula>
    </cfRule>
  </conditionalFormatting>
  <conditionalFormatting sqref="F18">
    <cfRule type="cellIs" dxfId="159" priority="79" operator="equal">
      <formula>"yes"</formula>
    </cfRule>
  </conditionalFormatting>
  <conditionalFormatting sqref="F15">
    <cfRule type="cellIs" dxfId="158" priority="76" operator="equal">
      <formula>"yes"</formula>
    </cfRule>
  </conditionalFormatting>
  <conditionalFormatting sqref="F15">
    <cfRule type="cellIs" dxfId="157" priority="77" operator="equal">
      <formula>"no"</formula>
    </cfRule>
  </conditionalFormatting>
  <conditionalFormatting sqref="F16">
    <cfRule type="cellIs" dxfId="156" priority="74" operator="equal">
      <formula>"yes"</formula>
    </cfRule>
  </conditionalFormatting>
  <conditionalFormatting sqref="F16">
    <cfRule type="cellIs" dxfId="155" priority="75" operator="equal">
      <formula>"no"</formula>
    </cfRule>
  </conditionalFormatting>
  <conditionalFormatting sqref="F14">
    <cfRule type="cellIs" dxfId="154" priority="72" operator="equal">
      <formula>"yes"</formula>
    </cfRule>
  </conditionalFormatting>
  <conditionalFormatting sqref="F14">
    <cfRule type="cellIs" dxfId="153" priority="73" operator="equal">
      <formula>"no"</formula>
    </cfRule>
  </conditionalFormatting>
  <conditionalFormatting sqref="F11">
    <cfRule type="cellIs" dxfId="152" priority="70" operator="equal">
      <formula>"yes"</formula>
    </cfRule>
  </conditionalFormatting>
  <conditionalFormatting sqref="F11">
    <cfRule type="cellIs" dxfId="151" priority="71" operator="equal">
      <formula>"no"</formula>
    </cfRule>
  </conditionalFormatting>
  <conditionalFormatting sqref="F10">
    <cfRule type="cellIs" dxfId="150" priority="67" operator="equal">
      <formula>"no"</formula>
    </cfRule>
  </conditionalFormatting>
  <conditionalFormatting sqref="F10">
    <cfRule type="cellIs" dxfId="149" priority="68" operator="equal">
      <formula>"a few incidences"</formula>
    </cfRule>
  </conditionalFormatting>
  <conditionalFormatting sqref="F10">
    <cfRule type="cellIs" dxfId="148" priority="69" operator="equal">
      <formula>"yes many incidences"</formula>
    </cfRule>
  </conditionalFormatting>
  <conditionalFormatting sqref="C22">
    <cfRule type="cellIs" dxfId="147" priority="8" operator="equal">
      <formula>"Warning! A serious error has occurred. Press 'undo' or revert to last saved copy to correct the error"</formula>
    </cfRule>
  </conditionalFormatting>
  <conditionalFormatting sqref="C22">
    <cfRule type="cellIs" dxfId="146" priority="7" operator="equal">
      <formula>"Avoid using 'cut' or 'drag and drop' functions"</formula>
    </cfRule>
  </conditionalFormatting>
  <conditionalFormatting sqref="G22">
    <cfRule type="cellIs" dxfId="145" priority="6" operator="equal">
      <formula>"Warning! A serious error has occurred. Press 'undo' or revert to last saved copy to correct the error"</formula>
    </cfRule>
  </conditionalFormatting>
  <conditionalFormatting sqref="G22">
    <cfRule type="cellIs" dxfId="144" priority="5" operator="equal">
      <formula>"Avoid using 'cut' or 'drag and drop' functions"</formula>
    </cfRule>
  </conditionalFormatting>
  <conditionalFormatting sqref="I22">
    <cfRule type="cellIs" dxfId="143" priority="4" operator="equal">
      <formula>"Warning; an error has occurred. Avoid using cut and paste functions. Press 'undo' or revert to last saved copy to correct the error"</formula>
    </cfRule>
  </conditionalFormatting>
  <conditionalFormatting sqref="F22">
    <cfRule type="cellIs" dxfId="142" priority="1" operator="equal">
      <formula>"no"</formula>
    </cfRule>
  </conditionalFormatting>
  <conditionalFormatting sqref="F22">
    <cfRule type="cellIs" dxfId="141" priority="2" operator="equal">
      <formula>"somewhat cheap and simple"</formula>
    </cfRule>
  </conditionalFormatting>
  <conditionalFormatting sqref="F22">
    <cfRule type="cellIs" dxfId="140" priority="3" operator="equal">
      <formula>"yes very cheap and simple"</formula>
    </cfRule>
  </conditionalFormatting>
  <dataValidations count="8">
    <dataValidation type="list" errorStyle="warning" allowBlank="1" showInputMessage="1" showErrorMessage="1" error="Choose an option from the dropdown list" sqref="F27" xr:uid="{C5E6BCC2-620A-4D31-81EF-A88FBF6A4FE0}">
      <formula1>"Very unlikely,Unlikely,Fairly likely,Likely,Very likely/certain"</formula1>
    </dataValidation>
    <dataValidation type="list" errorStyle="warning" allowBlank="1" showErrorMessage="1" error="Choose an option from the dropdown list" sqref="F19" xr:uid="{B2EE4647-4E05-4B93-AC44-65EDED2C8AF1}">
      <formula1>"yes very complex and/or long,somewhat complex,no"</formula1>
    </dataValidation>
    <dataValidation type="list" errorStyle="warning" allowBlank="1" showErrorMessage="1" error="Choose an option from the dropdown list" sqref="F20" xr:uid="{86AD7AC4-FCED-4D0A-BDA4-86A110F9889E}">
      <formula1>"yes many entry points,some entry points,no"</formula1>
    </dataValidation>
    <dataValidation type="list" errorStyle="warning" allowBlank="1" showErrorMessage="1" error="Choose an option from the dropdown list" sqref="F12" xr:uid="{6ECF667C-9CD7-40EE-AD04-62C6846FDBAF}">
      <formula1>"yes very large,somewhat large,no"</formula1>
    </dataValidation>
    <dataValidation type="list" errorStyle="warning" allowBlank="1" showErrorMessage="1" error="Choose an option from the dropdown list" sqref="F13" xr:uid="{2F8499F1-9E61-4DEF-8B99-4EAFFE936568}">
      <formula1>"yes very expensive,somewhat expensive,no"</formula1>
    </dataValidation>
    <dataValidation type="list" errorStyle="warning" allowBlank="1" showErrorMessage="1" error="Choose an option from the dropdown list" sqref="F11 F14:F18 F21 F23:F24" xr:uid="{3593CAB5-418B-4ED8-9615-5AC28F07DCD3}">
      <formula1>"yes,no"</formula1>
    </dataValidation>
    <dataValidation type="list" errorStyle="warning" allowBlank="1" showErrorMessage="1" error="Choose an option from the dropdown list" sqref="F10" xr:uid="{314722F7-EE7D-4D48-9119-78FF7547CA11}">
      <formula1>"yes many incidences,a few incidences,no"</formula1>
    </dataValidation>
    <dataValidation type="list" errorStyle="warning" allowBlank="1" showErrorMessage="1" error="Choose an option from the dropdown list" sqref="F22" xr:uid="{CB6525FC-0C9B-4A98-BF43-20B928A31EB7}">
      <formula1>"yes very cheap and simple,somewhat cheap and simple,no"</formula1>
    </dataValidation>
  </dataValidations>
  <hyperlinks>
    <hyperlink ref="C29" location="Instructions!A1" display="Back to Instructions page" xr:uid="{ADCC3DC5-2FE2-4F64-A940-248D298E6342}"/>
    <hyperlink ref="E10" r:id="rId1" xr:uid="{7958815B-1046-4172-B7B3-705EE8BCD9DA}"/>
    <hyperlink ref="E11" r:id="rId2" xr:uid="{E35F5149-C2B9-458A-9697-D69FE7F89616}"/>
    <hyperlink ref="E13" location="Instructions!C182" display="Info" xr:uid="{1AB02B14-8048-4A1B-8BE6-45688C94200F}"/>
    <hyperlink ref="E15" location="Instructions!C186" display="Info" xr:uid="{34178152-F732-447A-81FC-6C7654CB0597}"/>
    <hyperlink ref="E16" location="Instructions!C190" display="Info" xr:uid="{49898DD0-6CBB-4EF5-9D5B-E1425E89540C}"/>
    <hyperlink ref="E17" location="Instructions!C194" display="Info" xr:uid="{D22A1517-0ACF-4F23-B67E-E54F798FE156}"/>
    <hyperlink ref="E18" location="Instructions!C198" display="Info" xr:uid="{6916D7D7-3D82-4F95-A53E-B53DBD9C179E}"/>
    <hyperlink ref="E19" location="Instructions!C202" display="Info" xr:uid="{5B06483E-940E-4A66-BC55-CFA948CFEC4C}"/>
    <hyperlink ref="E20" location="Instructions!C206" display="Info" xr:uid="{401DB99B-04C0-4578-9362-E0A0592D0F0A}"/>
    <hyperlink ref="E21" location="Instructions!C210" display="Info" xr:uid="{AAD23E9D-7010-4FDC-BEA0-F61D4A55C39E}"/>
    <hyperlink ref="E23" location="Instructions!C218" display="Info" xr:uid="{403B40CF-DE1C-4339-8C87-E70C09950C0F}"/>
    <hyperlink ref="E24" location="Instructions!C222" display="Info" xr:uid="{5F3EFB4F-F4D3-4018-8DFD-B8F60B311924}"/>
    <hyperlink ref="E26" location="Instructions!A226" display="Info" xr:uid="{075C7D02-354B-4ADB-9604-CFD5E177259C}"/>
    <hyperlink ref="C31" location="'Detection worksheet'!A1" display="Forward to Detection worksheet" xr:uid="{B7A19A56-67E1-43AB-B169-4CA091448D12}"/>
    <hyperlink ref="E22" location="Instructions!C214" display="Info" xr:uid="{8A4D614D-42B8-4DD8-B98B-A6466766C1F1}"/>
    <hyperlink ref="E12" location="Instructions!C178" display="Info" xr:uid="{60DAADC8-E103-4527-9E25-A6187D856290}"/>
  </hyperlinks>
  <pageMargins left="0.7" right="0.7" top="0.75" bottom="0.75" header="0.3" footer="0.3"/>
  <pageSetup paperSize="9" orientation="portrait" horizontalDpi="0" verticalDpi="0" r:id="rId3"/>
  <drawing r:id="rId4"/>
  <legacyDrawing r:id="rId5"/>
  <picture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3B203-2B90-4FCE-A418-B36FAB1C80D8}">
  <sheetPr codeName="Sheet3"/>
  <dimension ref="B2:K28"/>
  <sheetViews>
    <sheetView showGridLines="0" zoomScale="80" zoomScaleNormal="80" workbookViewId="0">
      <pane ySplit="8" topLeftCell="A9" activePane="bottomLeft" state="frozen"/>
      <selection pane="bottomLeft" activeCell="F10" sqref="F10"/>
    </sheetView>
  </sheetViews>
  <sheetFormatPr defaultColWidth="8.85546875" defaultRowHeight="13.15"/>
  <cols>
    <col min="1" max="1" width="8.85546875" style="1"/>
    <col min="2" max="2" width="4.5703125" style="194" customWidth="1"/>
    <col min="3" max="3" width="17" style="1" customWidth="1"/>
    <col min="4" max="4" width="21.5703125" style="1" customWidth="1"/>
    <col min="5" max="5" width="8.85546875" style="1"/>
    <col min="6" max="6" width="16.85546875" style="1" customWidth="1"/>
    <col min="7" max="7" width="9.140625" style="193" hidden="1" customWidth="1"/>
    <col min="8" max="8" width="36.7109375" style="1" hidden="1" customWidth="1"/>
    <col min="9" max="9" width="30.5703125" style="1" customWidth="1"/>
    <col min="10" max="10" width="101.5703125" style="1" customWidth="1"/>
    <col min="11" max="16384" width="8.85546875" style="1"/>
  </cols>
  <sheetData>
    <row r="2" spans="2:11" ht="15.6">
      <c r="B2" s="98" t="s">
        <v>93</v>
      </c>
      <c r="C2" s="182"/>
      <c r="D2" s="99"/>
      <c r="E2" s="99"/>
      <c r="F2" s="182"/>
      <c r="G2" s="183"/>
      <c r="H2" s="184"/>
      <c r="I2" s="182"/>
      <c r="J2" s="185"/>
    </row>
    <row r="3" spans="2:11" ht="22.15" customHeight="1">
      <c r="B3" s="100" t="str">
        <f>IF('Scope worksheet'!D6="Insert name of material or material group here","Insert material name on Scope Worksheet",'Scope worksheet'!D6)</f>
        <v>Insert material name on Scope Worksheet</v>
      </c>
      <c r="C3" s="186"/>
      <c r="D3" s="186"/>
      <c r="E3" s="101"/>
      <c r="F3" s="186"/>
      <c r="G3" s="187"/>
      <c r="H3" s="186"/>
      <c r="I3" s="186"/>
      <c r="J3" s="188"/>
    </row>
    <row r="4" spans="2:11" ht="15.6">
      <c r="B4" s="102" t="s">
        <v>94</v>
      </c>
      <c r="C4" s="189"/>
      <c r="D4" s="103"/>
      <c r="E4" s="104"/>
      <c r="F4" s="189"/>
      <c r="G4" s="190"/>
      <c r="H4" s="191"/>
      <c r="I4" s="189"/>
      <c r="J4" s="192"/>
    </row>
    <row r="5" spans="2:11" ht="7.15" customHeight="1">
      <c r="B5" s="96"/>
      <c r="E5" s="97"/>
      <c r="I5" s="12"/>
      <c r="K5" s="8"/>
    </row>
    <row r="6" spans="2:11" ht="4.9000000000000004" customHeight="1">
      <c r="C6" s="94"/>
      <c r="D6" s="95"/>
      <c r="E6" s="86"/>
      <c r="K6" s="8"/>
    </row>
    <row r="7" spans="2:11" ht="4.9000000000000004" customHeight="1">
      <c r="C7" s="94"/>
      <c r="D7" s="95"/>
      <c r="E7" s="86"/>
      <c r="K7" s="8"/>
    </row>
    <row r="8" spans="2:11" ht="4.9000000000000004" customHeight="1">
      <c r="C8" s="94"/>
      <c r="D8" s="95"/>
      <c r="E8" s="86"/>
    </row>
    <row r="9" spans="2:11" ht="31.15">
      <c r="B9" s="354" t="s">
        <v>21</v>
      </c>
      <c r="C9" s="355"/>
      <c r="D9" s="105" t="s">
        <v>22</v>
      </c>
      <c r="E9" s="105" t="s">
        <v>23</v>
      </c>
      <c r="F9" s="106" t="s">
        <v>24</v>
      </c>
      <c r="G9" s="77" t="s">
        <v>95</v>
      </c>
      <c r="H9" s="77" t="s">
        <v>95</v>
      </c>
      <c r="I9" s="106" t="s">
        <v>25</v>
      </c>
      <c r="J9" s="106" t="s">
        <v>26</v>
      </c>
    </row>
    <row r="10" spans="2:11" ht="64.150000000000006" customHeight="1">
      <c r="B10" s="107" t="s">
        <v>96</v>
      </c>
      <c r="C10" s="252" t="s">
        <v>97</v>
      </c>
      <c r="D10" s="253" t="s">
        <v>53</v>
      </c>
      <c r="E10" s="247"/>
      <c r="F10" s="258" t="str">
        <f>IF('Occurrence worksheet'!F16="","",'Occurrence worksheet'!F16)</f>
        <v/>
      </c>
      <c r="G10" s="261">
        <f>IF('Occurrence worksheet'!F10="",1,IF(F10="","",IF(F10="no",0,1)))</f>
        <v>1</v>
      </c>
      <c r="H10" s="261" t="s">
        <v>35</v>
      </c>
      <c r="I10" s="265" t="str">
        <f>IF(ISERROR($G$22),"Warning; an error has occurred. Avoid using cut and paste functions. Press 'undo' or revert to last saved copy to correct the error",IF(F10="yes","This material is sourced from countries or regions that are politically unstable and/or very poor.",IF(F10="no","This material is not sourced from countries or regions that are politically unstable or very poor.","")))</f>
        <v/>
      </c>
      <c r="J10" s="200"/>
    </row>
    <row r="11" spans="2:11" ht="58.15" customHeight="1">
      <c r="B11" s="107" t="s">
        <v>98</v>
      </c>
      <c r="C11" s="252" t="s">
        <v>58</v>
      </c>
      <c r="D11" s="253" t="s">
        <v>99</v>
      </c>
      <c r="E11" s="247"/>
      <c r="F11" s="259" t="str">
        <f>IF('Occurrence worksheet'!F18="","",'Occurrence worksheet'!F18)</f>
        <v/>
      </c>
      <c r="G11" s="261" t="str">
        <f>IF(F11="","",IF(F11="yes",0,1))</f>
        <v/>
      </c>
      <c r="H11" s="261" t="s">
        <v>60</v>
      </c>
      <c r="I11" s="265" t="str">
        <f>IF(ISERROR($G$22),"Warning; an error has occurred. Avoid using cut and paste functions. Press 'undo' or revert to last saved copy to correct the error",IF(F11="yes","This material is sourced directly from the manufacturer or grower. ",IF(F11="no","This material is not sourced directly from the manufacturer or grower but rather from a wholesaler, distributor, importer, broker or trader .","")))</f>
        <v/>
      </c>
      <c r="J11" s="200"/>
    </row>
    <row r="12" spans="2:11" ht="58.15" customHeight="1">
      <c r="B12" s="107" t="s">
        <v>100</v>
      </c>
      <c r="C12" s="252" t="s">
        <v>62</v>
      </c>
      <c r="D12" s="253" t="s">
        <v>63</v>
      </c>
      <c r="E12" s="247"/>
      <c r="F12" s="260" t="str">
        <f>IF('Occurrence worksheet'!F19="","",'Occurrence worksheet'!F19)</f>
        <v/>
      </c>
      <c r="G12" s="261" t="str">
        <f>IF(F12="","",IF(F12="no",0,IF(F12="somewhat complex",0.5,1)))</f>
        <v/>
      </c>
      <c r="H12" s="261" t="s">
        <v>101</v>
      </c>
      <c r="I12" s="265" t="str">
        <f>IF(ISERROR($G$22),"Warning; an error has occurred. Avoid using cut and paste functions. Press 'undo' or revert to last saved copy to correct the error",IF(F12="yes very complex and/or long","The supply chain is very complex and/or long.",IF(F12="somewhat complex","The supply chain is somewhat complex or long.",IF(F12="no","The supply chain is relatively simple and short.",""))))</f>
        <v/>
      </c>
      <c r="J12" s="201"/>
    </row>
    <row r="13" spans="2:11" ht="91.9" customHeight="1">
      <c r="B13" s="107" t="s">
        <v>102</v>
      </c>
      <c r="C13" s="252" t="s">
        <v>103</v>
      </c>
      <c r="D13" s="253" t="s">
        <v>104</v>
      </c>
      <c r="E13" s="247"/>
      <c r="F13" s="258" t="str">
        <f>IF('Occurrence worksheet'!F23="","",'Occurrence worksheet'!F23)</f>
        <v/>
      </c>
      <c r="G13" s="261" t="str">
        <f>IF(F13="","",IF(F13="yes",0,1))</f>
        <v/>
      </c>
      <c r="H13" s="261" t="s">
        <v>60</v>
      </c>
      <c r="I13" s="265" t="str">
        <f>IF(ISERROR($G$22),"Warning; an error has occurred. Avoid using cut and paste functions. Press 'undo' or revert to last saved copy to correct the error",IF(F13="yes","This material is purchased in whole discrete pieces rather than as a powder, liquid, mince, paste, pre-mix, slurry or blend.",IF(F13="no","This material is purchased  as a powder, liquid, mince, paste, pre-mix, slurry or blend rather than in whole discrete pieces.","")))</f>
        <v/>
      </c>
      <c r="J13" s="200"/>
    </row>
    <row r="14" spans="2:11" ht="59.45" customHeight="1">
      <c r="B14" s="107" t="s">
        <v>105</v>
      </c>
      <c r="C14" s="252" t="s">
        <v>106</v>
      </c>
      <c r="D14" s="253" t="s">
        <v>107</v>
      </c>
      <c r="E14" s="247" t="s">
        <v>39</v>
      </c>
      <c r="F14" s="260"/>
      <c r="G14" s="262" t="str">
        <f>IF(F14="","",IF(F14="yes all suppliers are audited",0,IF(F14="some suppliers are audited",0.5,1)))</f>
        <v/>
      </c>
      <c r="H14" s="261" t="s">
        <v>108</v>
      </c>
      <c r="I14" s="265" t="str">
        <f>IF(ISERROR($G$22),"Warning; an error has occurred. Avoid using cut and paste functions. Press 'undo' or revert to last saved copy to correct the error",IF(F14="yes all suppliers are audited","All suppliers in the supply chain of this material are audited by our business or by third parties.",IF(F14="some suppliers are audited","Some parts of the supply chain of this material are audited by our business or by third parties.",IF(F14="no","The supply chain of this material is not audited.",""))))</f>
        <v/>
      </c>
      <c r="J14" s="200"/>
    </row>
    <row r="15" spans="2:11" ht="55.9" customHeight="1">
      <c r="B15" s="107" t="s">
        <v>109</v>
      </c>
      <c r="C15" s="252" t="s">
        <v>110</v>
      </c>
      <c r="D15" s="253" t="s">
        <v>111</v>
      </c>
      <c r="E15" s="247" t="s">
        <v>39</v>
      </c>
      <c r="F15" s="258"/>
      <c r="G15" s="261" t="str">
        <f>IF(F15="","",IF(F15="yes",0,1))</f>
        <v/>
      </c>
      <c r="H15" s="261" t="s">
        <v>60</v>
      </c>
      <c r="I15" s="265" t="str">
        <f>IF(ISERROR($G$22),"Warning; an error has occurred. Avoid using cut and paste functions. Press 'undo' or revert to last saved copy to correct the error",IF(F15="yes","This material is routinely tested for authenticity.",IF(F15="no","Authenticity testing is not routinely performed on this material.","")))</f>
        <v/>
      </c>
      <c r="J15" s="200"/>
    </row>
    <row r="16" spans="2:11" ht="58.15" customHeight="1">
      <c r="B16" s="107" t="s">
        <v>112</v>
      </c>
      <c r="C16" s="252" t="s">
        <v>113</v>
      </c>
      <c r="D16" s="253" t="s">
        <v>114</v>
      </c>
      <c r="E16" s="247" t="s">
        <v>39</v>
      </c>
      <c r="F16" s="260"/>
      <c r="G16" s="261" t="str">
        <f>IF(F16="","",IF(F16="yes",0,IF(F16="not applicable",1,1)))</f>
        <v/>
      </c>
      <c r="H16" s="261" t="s">
        <v>115</v>
      </c>
      <c r="I16" s="265" t="str">
        <f>IF(ISERROR($G$22),"Warning; an error has occurred. Avoid using cut and paste functions. Press 'undo' or revert to last saved copy to correct the error",IF(F16="yes","The testing frequency is appropriate.",IF(F16="no","Authenticity testing occurs too infrequently to be effective.",IF(F16="not applicable","Not applicable.",""))))</f>
        <v/>
      </c>
      <c r="J16" s="200"/>
    </row>
    <row r="17" spans="2:10" ht="60.6" customHeight="1">
      <c r="B17" s="107" t="s">
        <v>116</v>
      </c>
      <c r="C17" s="252" t="s">
        <v>117</v>
      </c>
      <c r="D17" s="253" t="s">
        <v>118</v>
      </c>
      <c r="E17" s="247"/>
      <c r="F17" s="260"/>
      <c r="G17" s="261" t="str">
        <f>IF(F17="","",IF(F17="yes very likely",0,IF(F17="somewhat likely",0.5,IF(F17="not applicable",1,1))))</f>
        <v/>
      </c>
      <c r="H17" s="261" t="s">
        <v>119</v>
      </c>
      <c r="I17" s="265" t="str">
        <f>IF(ISERROR($G$22),"Warning; an error has occurred. Avoid using cut and paste functions. Press 'undo' or revert to last saved copy to correct the error",IF(F17="yes very likely","The test/s are very likely to detect adulteration, substitution or dilution.",IF(F17="somewhat likely","The test/s are somewhat likely to detect adulteration, substitution or dilution.",IF(F17="no","Although testing is conducted it is not likely to detect adulteration, substitution or dilution.",IF(F17="not applicable","Not applicable.","")))))</f>
        <v/>
      </c>
      <c r="J17" s="200"/>
    </row>
    <row r="18" spans="2:10" ht="70.900000000000006" customHeight="1">
      <c r="B18" s="107" t="s">
        <v>120</v>
      </c>
      <c r="C18" s="252" t="s">
        <v>121</v>
      </c>
      <c r="D18" s="253" t="s">
        <v>122</v>
      </c>
      <c r="E18" s="247"/>
      <c r="F18" s="260"/>
      <c r="G18" s="261" t="str">
        <f>IF(F18="","",IF(F18="always",0,IF(F18="sometimes",0.5,1)))</f>
        <v/>
      </c>
      <c r="H18" s="261" t="s">
        <v>123</v>
      </c>
      <c r="I18" s="265" t="str">
        <f>IF(ISERROR($G$22),"Warning; an error has occurred. Avoid using cut and paste functions. Press 'undo' or revert to last saved copy to correct the error",IF(F18="always","The material is always purchased in tamper-evident packaging or secure bulk-handling containers.",IF(F18="sometimes","The material is sometimes purchased in tamper-evident packaging or secure bulk-handling containers.",IF(F18="never","The material is not purchased in tamper-evident packaging nor in secure bulk-handling containers.",""))))</f>
        <v/>
      </c>
      <c r="J18" s="200"/>
    </row>
    <row r="19" spans="2:10" ht="73.150000000000006" customHeight="1">
      <c r="B19" s="107" t="s">
        <v>124</v>
      </c>
      <c r="C19" s="252" t="s">
        <v>66</v>
      </c>
      <c r="D19" s="254" t="s">
        <v>67</v>
      </c>
      <c r="E19" s="247"/>
      <c r="F19" s="260" t="str">
        <f>IF('Occurrence worksheet'!F20="","",'Occurrence worksheet'!F20)</f>
        <v/>
      </c>
      <c r="G19" s="261" t="str">
        <f>IF(F19="","",IF(F19="no",0,IF(F19="some entry points",0.5,1)))</f>
        <v/>
      </c>
      <c r="H19" s="261" t="s">
        <v>68</v>
      </c>
      <c r="I19" s="265" t="str">
        <f>IF(ISERROR($G$22),"Warning; an error has occurred. Avoid using cut and paste functions. Press 'undo' or revert to last saved copy to correct the error",IF(F19="yes many entry points","The supply chain has multiple points at which fraudulent material could enter.",IF(F19="some entry points","The supply chain has some points that could allow entry of fraudulent material.",IF(F19="no","The supply chain does not have easy entry points for fraudulent material.",""))))</f>
        <v/>
      </c>
      <c r="J19" s="200"/>
    </row>
    <row r="20" spans="2:10" ht="94.15" customHeight="1">
      <c r="B20" s="107" t="s">
        <v>125</v>
      </c>
      <c r="C20" s="252" t="s">
        <v>126</v>
      </c>
      <c r="D20" s="253" t="s">
        <v>127</v>
      </c>
      <c r="E20" s="247" t="s">
        <v>39</v>
      </c>
      <c r="F20" s="260"/>
      <c r="G20" s="261" t="str">
        <f>IF(F20="","",IF(F20="yes all suppliers",0,IF(F20="some suppliers",0.5,1)))</f>
        <v/>
      </c>
      <c r="H20" s="261" t="s">
        <v>128</v>
      </c>
      <c r="I20" s="265" t="str">
        <f>IF(ISERROR($G$22),"Warning; an error has occurred. Avoid using cut and paste functions. Press 'undo' or revert to last saved copy to correct the error",IF(F20="yes all suppliers","Supplier/s of this material are subject to audits that consider adulteration, traceability, mass balance and testing.",IF(F20="some suppliers","Some supplier/s of this material are subject to audits that consider adulteration, traceability, mass balance and testing.",IF(F20="no","Supplier/s of this material are not subject to audits that consider adulteration, traceability, mass balance and testing.",""))))</f>
        <v/>
      </c>
      <c r="J20" s="200"/>
    </row>
    <row r="21" spans="2:10" ht="68.45" customHeight="1">
      <c r="B21" s="107" t="s">
        <v>129</v>
      </c>
      <c r="C21" s="255" t="s">
        <v>80</v>
      </c>
      <c r="D21" s="256" t="s">
        <v>130</v>
      </c>
      <c r="E21" s="247" t="s">
        <v>39</v>
      </c>
      <c r="F21" s="260"/>
      <c r="G21" s="262" t="str">
        <f>IF(F21="","",IF(F21="yes",0,IF(F21="not applicable",0,1)))</f>
        <v/>
      </c>
      <c r="H21" s="261" t="s">
        <v>60</v>
      </c>
      <c r="I21" s="265" t="str">
        <f>IF(ISERROR($G$22),"Warning; an error has occurred. Avoid using cut and paste functions. Press 'undo' or revert to last saved copy to correct the error",IF(F21="yes","Special criteria for this material (such as halal or organic) are tested for and/or properly certified.",IF(F21="no","This material has special purchasing criteria such as halal or organic but is not tested or certified for such.",IF(F21="not applicable","Not applicable.",""))))</f>
        <v/>
      </c>
      <c r="J21" s="200"/>
    </row>
    <row r="22" spans="2:10" ht="31.9" hidden="1" customHeight="1">
      <c r="B22" s="110"/>
      <c r="C22" s="111" t="s">
        <v>131</v>
      </c>
      <c r="D22" s="112"/>
      <c r="E22" s="248"/>
      <c r="F22" s="195"/>
      <c r="G22" s="196">
        <f>IF((SUM(G10:G21)/(COUNT(G10:G21)+0.00001)*100)&gt;100,100,SUM(G10:G21)/(COUNT(G10:G21)+0.00001)*100)</f>
        <v>99.999000009999889</v>
      </c>
      <c r="H22" s="197" t="str">
        <f>IF(AND(G22&gt;=0,G22&lt;20),"Very likely/certain to be detected",IF(AND(G22&gt;=20,G22&lt;40),"Likely to be detected",IF(AND(G22&gt;=40,G22&lt;60),"Fairly likely to be detected",IF(AND(G22&gt;=60,G22&lt;80),"Unlikely to be detected",IF(AND(G22&gt;=80,G22&lt;=100),"Very unlikely to be detected","ERROR")))))</f>
        <v>Very unlikely to be detected</v>
      </c>
      <c r="I22" s="12" t="s">
        <v>95</v>
      </c>
      <c r="J22" s="198"/>
    </row>
    <row r="23" spans="2:10" ht="70.150000000000006" customHeight="1">
      <c r="B23" s="107" t="s">
        <v>132</v>
      </c>
      <c r="C23" s="109" t="s">
        <v>133</v>
      </c>
      <c r="D23" s="108"/>
      <c r="E23" s="247" t="s">
        <v>39</v>
      </c>
      <c r="F23" s="263" t="str">
        <f>H22&amp;" (calculated)"</f>
        <v>Very unlikely to be detected (calculated)</v>
      </c>
      <c r="G23" s="246"/>
      <c r="H23" s="199" t="str">
        <f>F23</f>
        <v>Very unlikely to be detected (calculated)</v>
      </c>
      <c r="I23" s="356" t="str">
        <f>IF(ISERROR($G$22),"Warning; an error has occurred. Avoid using cut and paste functions. Press 'undo' or revert to last saved copy to correct the error",G24)</f>
        <v>Very unlikely to be detected</v>
      </c>
      <c r="J23" s="358" t="s">
        <v>134</v>
      </c>
    </row>
    <row r="24" spans="2:10" ht="48.6" customHeight="1">
      <c r="B24" s="116" t="s">
        <v>135</v>
      </c>
      <c r="C24" s="109" t="s">
        <v>136</v>
      </c>
      <c r="D24" s="108" t="s">
        <v>137</v>
      </c>
      <c r="E24" s="249"/>
      <c r="F24" s="264"/>
      <c r="G24" s="246" t="str">
        <f>IF(F24="",H22,F24)</f>
        <v>Very unlikely to be detected</v>
      </c>
      <c r="H24" s="197"/>
      <c r="I24" s="357"/>
      <c r="J24" s="359"/>
    </row>
    <row r="25" spans="2:10" ht="13.9" thickBot="1"/>
    <row r="26" spans="2:10" ht="27" thickBot="1">
      <c r="C26" s="53" t="s">
        <v>12</v>
      </c>
      <c r="H26" s="59"/>
    </row>
    <row r="27" spans="2:10" ht="13.9" thickBot="1"/>
    <row r="28" spans="2:10" ht="27" thickBot="1">
      <c r="C28" s="53" t="s">
        <v>138</v>
      </c>
    </row>
  </sheetData>
  <sheetProtection algorithmName="SHA-512" hashValue="KR6wNIAq7VPLUkmtmBtudEhNpkt9UQPMhCtpcLz44/YOgwPi5AM72/Ve6szy75SZ3/Tzv/JvVRJTX/n0QoZ5EA==" saltValue="4JIyANyYuCTMpSdJni9LRA==" spinCount="100000" sheet="1" selectLockedCells="1"/>
  <mergeCells count="3">
    <mergeCell ref="B9:C9"/>
    <mergeCell ref="I23:I24"/>
    <mergeCell ref="J23:J24"/>
  </mergeCells>
  <conditionalFormatting sqref="F22">
    <cfRule type="cellIs" dxfId="139" priority="128" operator="equal">
      <formula>"less than $1"</formula>
    </cfRule>
  </conditionalFormatting>
  <conditionalFormatting sqref="F22">
    <cfRule type="cellIs" dxfId="138" priority="129" operator="equal">
      <formula>"$1 - $4"</formula>
    </cfRule>
  </conditionalFormatting>
  <conditionalFormatting sqref="F22">
    <cfRule type="cellIs" dxfId="137" priority="130" operator="equal">
      <formula>"$4 - $10"</formula>
    </cfRule>
  </conditionalFormatting>
  <conditionalFormatting sqref="F22">
    <cfRule type="cellIs" dxfId="136" priority="131" operator="equal">
      <formula>"$10 - $50"</formula>
    </cfRule>
  </conditionalFormatting>
  <conditionalFormatting sqref="F22">
    <cfRule type="cellIs" dxfId="135" priority="132" operator="equal">
      <formula>"greater than $50"</formula>
    </cfRule>
  </conditionalFormatting>
  <conditionalFormatting sqref="I23">
    <cfRule type="cellIs" dxfId="134" priority="104" operator="equal">
      <formula>"Warning; an error has occurred. Avoid using cut and paste functions. Press 'undo' or revert to last saved copy to correct the error"</formula>
    </cfRule>
  </conditionalFormatting>
  <conditionalFormatting sqref="C19">
    <cfRule type="cellIs" dxfId="133" priority="103" operator="equal">
      <formula>"Warning! A serious error has occurred. Press 'undo' or revert to last saved copy to correct the error"</formula>
    </cfRule>
  </conditionalFormatting>
  <conditionalFormatting sqref="C19">
    <cfRule type="cellIs" dxfId="132" priority="102" operator="equal">
      <formula>"Avoid using 'cut' or 'drag and drop' functions"</formula>
    </cfRule>
  </conditionalFormatting>
  <conditionalFormatting sqref="D12">
    <cfRule type="cellIs" dxfId="131" priority="96" operator="equal">
      <formula>"Avoid using 'cut' or 'drag and drop' functions"</formula>
    </cfRule>
  </conditionalFormatting>
  <conditionalFormatting sqref="C20">
    <cfRule type="cellIs" dxfId="130" priority="101" operator="equal">
      <formula>"Warning! A serious error has occurred. Press 'undo' or revert to last saved copy to correct the error"</formula>
    </cfRule>
  </conditionalFormatting>
  <conditionalFormatting sqref="C20">
    <cfRule type="cellIs" dxfId="129" priority="100" operator="equal">
      <formula>"Avoid using 'cut' or 'drag and drop' functions"</formula>
    </cfRule>
  </conditionalFormatting>
  <conditionalFormatting sqref="D16:D17">
    <cfRule type="cellIs" dxfId="128" priority="99" operator="equal">
      <formula>"Warning! A serious error has occurred. Press 'undo' or revert to last saved copy to correct the error"</formula>
    </cfRule>
  </conditionalFormatting>
  <conditionalFormatting sqref="D16:D17">
    <cfRule type="cellIs" dxfId="127" priority="98" operator="equal">
      <formula>"Avoid using 'cut' or 'drag and drop' functions"</formula>
    </cfRule>
  </conditionalFormatting>
  <conditionalFormatting sqref="D12">
    <cfRule type="cellIs" dxfId="126" priority="97" operator="equal">
      <formula>"Warning! A serious error has occurred. Press 'undo' or revert to last saved copy to correct the error"</formula>
    </cfRule>
  </conditionalFormatting>
  <conditionalFormatting sqref="D20">
    <cfRule type="cellIs" dxfId="125" priority="95" operator="equal">
      <formula>"Warning! A serious error has occurred. Press 'undo' or revert to last saved copy to correct the error"</formula>
    </cfRule>
  </conditionalFormatting>
  <conditionalFormatting sqref="D20">
    <cfRule type="cellIs" dxfId="124" priority="94" operator="equal">
      <formula>"Avoid using 'cut' or 'drag and drop' functions"</formula>
    </cfRule>
  </conditionalFormatting>
  <conditionalFormatting sqref="C11">
    <cfRule type="cellIs" dxfId="123" priority="93" operator="equal">
      <formula>"Warning! A serious error has occurred. Press 'undo' or revert to last saved copy to correct the error"</formula>
    </cfRule>
  </conditionalFormatting>
  <conditionalFormatting sqref="C11">
    <cfRule type="cellIs" dxfId="122" priority="92" operator="equal">
      <formula>"Avoid using 'cut' or 'drag and drop' functions"</formula>
    </cfRule>
  </conditionalFormatting>
  <conditionalFormatting sqref="D11">
    <cfRule type="cellIs" dxfId="121" priority="91" operator="equal">
      <formula>"Warning! A serious error has occurred. Press 'undo' or revert to last saved copy to correct the error"</formula>
    </cfRule>
  </conditionalFormatting>
  <conditionalFormatting sqref="D11">
    <cfRule type="cellIs" dxfId="120" priority="90" operator="equal">
      <formula>"Avoid using 'cut' or 'drag and drop' functions"</formula>
    </cfRule>
  </conditionalFormatting>
  <conditionalFormatting sqref="C12">
    <cfRule type="cellIs" dxfId="119" priority="89" operator="equal">
      <formula>"Warning! A serious error has occurred. Press 'undo' or revert to last saved copy to correct the error"</formula>
    </cfRule>
  </conditionalFormatting>
  <conditionalFormatting sqref="C12">
    <cfRule type="cellIs" dxfId="118" priority="88" operator="equal">
      <formula>"Avoid using 'cut' or 'drag and drop' functions"</formula>
    </cfRule>
  </conditionalFormatting>
  <conditionalFormatting sqref="C13">
    <cfRule type="cellIs" dxfId="117" priority="87" operator="equal">
      <formula>"Warning! A serious error has occurred. Press 'undo' or revert to last saved copy to correct the error"</formula>
    </cfRule>
  </conditionalFormatting>
  <conditionalFormatting sqref="C13">
    <cfRule type="cellIs" dxfId="116" priority="86" operator="equal">
      <formula>"Avoid using 'cut' or 'drag and drop' functions"</formula>
    </cfRule>
  </conditionalFormatting>
  <conditionalFormatting sqref="C15">
    <cfRule type="cellIs" dxfId="115" priority="85" operator="equal">
      <formula>"Warning! A serious error has occurred. Press 'undo' or revert to last saved copy to correct the error"</formula>
    </cfRule>
  </conditionalFormatting>
  <conditionalFormatting sqref="C15">
    <cfRule type="cellIs" dxfId="114" priority="84" operator="equal">
      <formula>"Avoid using 'cut' or 'drag and drop' functions"</formula>
    </cfRule>
  </conditionalFormatting>
  <conditionalFormatting sqref="D15">
    <cfRule type="cellIs" dxfId="113" priority="83" operator="equal">
      <formula>"always"</formula>
    </cfRule>
  </conditionalFormatting>
  <conditionalFormatting sqref="D15">
    <cfRule type="cellIs" dxfId="112" priority="82" operator="equal">
      <formula>"Warning! A serious error has occurred. Press 'undo' or revert to last saved copy to correct the error"</formula>
    </cfRule>
  </conditionalFormatting>
  <conditionalFormatting sqref="D15">
    <cfRule type="cellIs" dxfId="111" priority="81" operator="equal">
      <formula>"Avoid using 'cut' or 'drag and drop' functions"</formula>
    </cfRule>
  </conditionalFormatting>
  <conditionalFormatting sqref="C16">
    <cfRule type="cellIs" dxfId="110" priority="80" operator="equal">
      <formula>"Warning! A serious error has occurred. Press 'undo' or revert to last saved copy to correct the error"</formula>
    </cfRule>
  </conditionalFormatting>
  <conditionalFormatting sqref="C16">
    <cfRule type="cellIs" dxfId="109" priority="79" operator="equal">
      <formula>"Avoid using 'cut' or 'drag and drop' functions"</formula>
    </cfRule>
  </conditionalFormatting>
  <conditionalFormatting sqref="C18">
    <cfRule type="cellIs" dxfId="108" priority="78" operator="equal">
      <formula>"Warning! A serious error has occurred. Press 'undo' or revert to last saved copy to correct the error"</formula>
    </cfRule>
  </conditionalFormatting>
  <conditionalFormatting sqref="C18">
    <cfRule type="cellIs" dxfId="107" priority="77" operator="equal">
      <formula>"Avoid using 'cut' or 'drag and drop' functions"</formula>
    </cfRule>
  </conditionalFormatting>
  <conditionalFormatting sqref="D18">
    <cfRule type="cellIs" dxfId="106" priority="76" operator="equal">
      <formula>"Warning! A serious error has occurred. Press 'undo' or revert to last saved copy to correct the error"</formula>
    </cfRule>
  </conditionalFormatting>
  <conditionalFormatting sqref="D18">
    <cfRule type="cellIs" dxfId="105" priority="75" operator="equal">
      <formula>"Avoid using 'cut' or 'drag and drop' functions"</formula>
    </cfRule>
  </conditionalFormatting>
  <conditionalFormatting sqref="C17">
    <cfRule type="cellIs" dxfId="104" priority="74" operator="equal">
      <formula>"Warning! A serious error has occurred. Press 'undo' or revert to last saved copy to correct the error"</formula>
    </cfRule>
  </conditionalFormatting>
  <conditionalFormatting sqref="C17">
    <cfRule type="cellIs" dxfId="103" priority="73" operator="equal">
      <formula>"Avoid using 'cut' or 'drag and drop' functions"</formula>
    </cfRule>
  </conditionalFormatting>
  <conditionalFormatting sqref="D13">
    <cfRule type="cellIs" dxfId="102" priority="72" operator="equal">
      <formula>"Warning! A serious error has occurred. Press 'undo' or revert to last saved copy to correct the error"</formula>
    </cfRule>
  </conditionalFormatting>
  <conditionalFormatting sqref="D13">
    <cfRule type="cellIs" dxfId="101" priority="71" operator="equal">
      <formula>"Avoid using 'cut' or 'drag and drop' functions"</formula>
    </cfRule>
  </conditionalFormatting>
  <conditionalFormatting sqref="D10">
    <cfRule type="cellIs" dxfId="100" priority="70" operator="equal">
      <formula>"Warning! A serious error has occurred. Press 'undo' or revert to last saved copy to correct the error"</formula>
    </cfRule>
  </conditionalFormatting>
  <conditionalFormatting sqref="D10">
    <cfRule type="cellIs" dxfId="99" priority="69" operator="equal">
      <formula>"Avoid using 'cut' or 'drag and drop' functions"</formula>
    </cfRule>
  </conditionalFormatting>
  <conditionalFormatting sqref="C10">
    <cfRule type="cellIs" dxfId="98" priority="68" operator="equal">
      <formula>"Warning! A serious error has occurred. Press 'undo' or revert to last saved copy to correct the error"</formula>
    </cfRule>
  </conditionalFormatting>
  <conditionalFormatting sqref="C10">
    <cfRule type="cellIs" dxfId="97" priority="67" operator="equal">
      <formula>"Avoid using 'cut' or 'drag and drop' functions"</formula>
    </cfRule>
  </conditionalFormatting>
  <conditionalFormatting sqref="C14">
    <cfRule type="cellIs" dxfId="96" priority="66" operator="equal">
      <formula>"Warning! A serious error has occurred. Press 'undo' or revert to last saved copy to correct the error"</formula>
    </cfRule>
  </conditionalFormatting>
  <conditionalFormatting sqref="C14">
    <cfRule type="cellIs" dxfId="95" priority="65" operator="equal">
      <formula>"Avoid using 'cut' or 'drag and drop' functions"</formula>
    </cfRule>
  </conditionalFormatting>
  <conditionalFormatting sqref="D14">
    <cfRule type="cellIs" dxfId="94" priority="64" operator="equal">
      <formula>"Warning! A serious error has occurred. Press 'undo' or revert to last saved copy to correct the error"</formula>
    </cfRule>
  </conditionalFormatting>
  <conditionalFormatting sqref="D14">
    <cfRule type="cellIs" dxfId="93" priority="63" operator="equal">
      <formula>"Avoid using 'cut' or 'drag and drop' functions"</formula>
    </cfRule>
  </conditionalFormatting>
  <conditionalFormatting sqref="C21">
    <cfRule type="cellIs" dxfId="92" priority="62" operator="equal">
      <formula>"Warning! A serious error has occurred. Press 'undo' or revert to last saved copy to correct the error"</formula>
    </cfRule>
  </conditionalFormatting>
  <conditionalFormatting sqref="C21">
    <cfRule type="cellIs" dxfId="91" priority="61" operator="equal">
      <formula>"Avoid using 'cut' or 'drag and drop' functions"</formula>
    </cfRule>
  </conditionalFormatting>
  <conditionalFormatting sqref="D21">
    <cfRule type="cellIs" dxfId="90" priority="59" operator="equal">
      <formula>"Avoid using 'cut' or 'drag and drop' functions"</formula>
    </cfRule>
  </conditionalFormatting>
  <conditionalFormatting sqref="D21">
    <cfRule type="cellIs" dxfId="89" priority="60" operator="equal">
      <formula>"Warning! A serious error has occurred. Press 'undo' or revert to last saved copy to correct the error"</formula>
    </cfRule>
  </conditionalFormatting>
  <conditionalFormatting sqref="F15">
    <cfRule type="cellIs" dxfId="88" priority="57" operator="equal">
      <formula>"no"</formula>
    </cfRule>
  </conditionalFormatting>
  <conditionalFormatting sqref="F15">
    <cfRule type="cellIs" dxfId="87" priority="58" operator="equal">
      <formula>"yes"</formula>
    </cfRule>
  </conditionalFormatting>
  <conditionalFormatting sqref="F17">
    <cfRule type="cellIs" dxfId="86" priority="53" operator="equal">
      <formula>"not applicable"</formula>
    </cfRule>
    <cfRule type="cellIs" dxfId="85" priority="54" operator="equal">
      <formula>"yes very likely"</formula>
    </cfRule>
  </conditionalFormatting>
  <conditionalFormatting sqref="F17">
    <cfRule type="cellIs" dxfId="84" priority="55" operator="equal">
      <formula>"somewhat likely"</formula>
    </cfRule>
  </conditionalFormatting>
  <conditionalFormatting sqref="F17">
    <cfRule type="cellIs" dxfId="83" priority="56" operator="equal">
      <formula>"no"</formula>
    </cfRule>
  </conditionalFormatting>
  <conditionalFormatting sqref="F18">
    <cfRule type="cellIs" dxfId="82" priority="50" operator="equal">
      <formula>"always"</formula>
    </cfRule>
  </conditionalFormatting>
  <conditionalFormatting sqref="F18">
    <cfRule type="cellIs" dxfId="81" priority="51" operator="equal">
      <formula>"sometimes"</formula>
    </cfRule>
  </conditionalFormatting>
  <conditionalFormatting sqref="F18">
    <cfRule type="cellIs" dxfId="80" priority="52" operator="equal">
      <formula>"never"</formula>
    </cfRule>
  </conditionalFormatting>
  <conditionalFormatting sqref="F20">
    <cfRule type="cellIs" dxfId="79" priority="47" operator="equal">
      <formula>"yes all suppliers"</formula>
    </cfRule>
    <cfRule type="cellIs" dxfId="78" priority="48" operator="equal">
      <formula>"some suppliers"</formula>
    </cfRule>
  </conditionalFormatting>
  <conditionalFormatting sqref="F20:F21">
    <cfRule type="cellIs" dxfId="77" priority="49" operator="equal">
      <formula>"no"</formula>
    </cfRule>
  </conditionalFormatting>
  <conditionalFormatting sqref="F10">
    <cfRule type="cellIs" dxfId="76" priority="45" operator="equal">
      <formula>"yes"</formula>
    </cfRule>
  </conditionalFormatting>
  <conditionalFormatting sqref="F10">
    <cfRule type="cellIs" dxfId="75" priority="46" operator="equal">
      <formula>"no"</formula>
    </cfRule>
  </conditionalFormatting>
  <conditionalFormatting sqref="F11">
    <cfRule type="cellIs" dxfId="74" priority="43" operator="equal">
      <formula>"no"</formula>
    </cfRule>
  </conditionalFormatting>
  <conditionalFormatting sqref="F11">
    <cfRule type="cellIs" dxfId="73" priority="44" operator="equal">
      <formula>"yes"</formula>
    </cfRule>
  </conditionalFormatting>
  <conditionalFormatting sqref="F13">
    <cfRule type="cellIs" dxfId="72" priority="41" operator="equal">
      <formula>"no"</formula>
    </cfRule>
  </conditionalFormatting>
  <conditionalFormatting sqref="F13">
    <cfRule type="cellIs" dxfId="71" priority="42" operator="equal">
      <formula>"yes"</formula>
    </cfRule>
  </conditionalFormatting>
  <conditionalFormatting sqref="F14">
    <cfRule type="cellIs" dxfId="70" priority="38" operator="equal">
      <formula>"yes all suppliers are audited"</formula>
    </cfRule>
  </conditionalFormatting>
  <conditionalFormatting sqref="F14">
    <cfRule type="cellIs" dxfId="69" priority="39" operator="equal">
      <formula>"some suppliers are audited"</formula>
    </cfRule>
  </conditionalFormatting>
  <conditionalFormatting sqref="F14">
    <cfRule type="cellIs" dxfId="68" priority="40" operator="equal">
      <formula>"no"</formula>
    </cfRule>
  </conditionalFormatting>
  <conditionalFormatting sqref="F12">
    <cfRule type="cellIs" dxfId="67" priority="35" operator="equal">
      <formula>"no"</formula>
    </cfRule>
  </conditionalFormatting>
  <conditionalFormatting sqref="F12">
    <cfRule type="cellIs" dxfId="66" priority="36" operator="equal">
      <formula>"somewhat complex"</formula>
    </cfRule>
  </conditionalFormatting>
  <conditionalFormatting sqref="F12">
    <cfRule type="cellIs" dxfId="65" priority="37" operator="equal">
      <formula>"yes very complex and/or long"</formula>
    </cfRule>
  </conditionalFormatting>
  <conditionalFormatting sqref="F19">
    <cfRule type="cellIs" dxfId="64" priority="32" operator="equal">
      <formula>"no"</formula>
    </cfRule>
  </conditionalFormatting>
  <conditionalFormatting sqref="F19">
    <cfRule type="cellIs" dxfId="63" priority="33" operator="equal">
      <formula>"some entry points"</formula>
    </cfRule>
  </conditionalFormatting>
  <conditionalFormatting sqref="F19">
    <cfRule type="cellIs" dxfId="62" priority="34" operator="equal">
      <formula>"yes many entry points"</formula>
    </cfRule>
  </conditionalFormatting>
  <conditionalFormatting sqref="F21">
    <cfRule type="cellIs" dxfId="61" priority="30" operator="equal">
      <formula>"not applicable"</formula>
    </cfRule>
    <cfRule type="cellIs" dxfId="60" priority="31" operator="equal">
      <formula>"yes"</formula>
    </cfRule>
  </conditionalFormatting>
  <conditionalFormatting sqref="F16">
    <cfRule type="cellIs" dxfId="59" priority="27" operator="equal">
      <formula>"not applicable"</formula>
    </cfRule>
    <cfRule type="cellIs" dxfId="58" priority="28" operator="equal">
      <formula>"yes"</formula>
    </cfRule>
  </conditionalFormatting>
  <conditionalFormatting sqref="F16">
    <cfRule type="cellIs" dxfId="57" priority="29" operator="equal">
      <formula>"no"</formula>
    </cfRule>
  </conditionalFormatting>
  <conditionalFormatting sqref="G12">
    <cfRule type="cellIs" dxfId="56" priority="26" operator="equal">
      <formula>"Warning! A serious error has occurred. Press 'undo' or revert to last saved copy to correct the error"</formula>
    </cfRule>
  </conditionalFormatting>
  <conditionalFormatting sqref="G12">
    <cfRule type="cellIs" dxfId="55" priority="25" operator="equal">
      <formula>"Avoid using 'cut' or 'drag and drop' functions"</formula>
    </cfRule>
  </conditionalFormatting>
  <conditionalFormatting sqref="G19">
    <cfRule type="cellIs" dxfId="54" priority="24" operator="equal">
      <formula>"Warning! A serious error has occurred. Press 'undo' or revert to last saved copy to correct the error"</formula>
    </cfRule>
  </conditionalFormatting>
  <conditionalFormatting sqref="G19">
    <cfRule type="cellIs" dxfId="53" priority="23" operator="equal">
      <formula>"Avoid using 'cut' or 'drag and drop' functions"</formula>
    </cfRule>
  </conditionalFormatting>
  <conditionalFormatting sqref="G11">
    <cfRule type="cellIs" dxfId="52" priority="22" operator="equal">
      <formula>"Warning! A serious error has occurred. Press 'undo' or revert to last saved copy to correct the error"</formula>
    </cfRule>
  </conditionalFormatting>
  <conditionalFormatting sqref="G11">
    <cfRule type="cellIs" dxfId="51" priority="21" operator="equal">
      <formula>"Avoid using 'cut' or 'drag and drop' functions"</formula>
    </cfRule>
  </conditionalFormatting>
  <conditionalFormatting sqref="G13">
    <cfRule type="cellIs" dxfId="50" priority="20" operator="equal">
      <formula>"Warning! A serious error has occurred. Press 'undo' or revert to last saved copy to correct the error"</formula>
    </cfRule>
  </conditionalFormatting>
  <conditionalFormatting sqref="G13">
    <cfRule type="cellIs" dxfId="49" priority="19" operator="equal">
      <formula>"Avoid using 'cut' or 'drag and drop' functions"</formula>
    </cfRule>
  </conditionalFormatting>
  <conditionalFormatting sqref="G15">
    <cfRule type="cellIs" dxfId="48" priority="18" operator="equal">
      <formula>"Warning! A serious error has occurred. Press 'undo' or revert to last saved copy to correct the error"</formula>
    </cfRule>
  </conditionalFormatting>
  <conditionalFormatting sqref="G15">
    <cfRule type="cellIs" dxfId="47" priority="17" operator="equal">
      <formula>"Avoid using 'cut' or 'drag and drop' functions"</formula>
    </cfRule>
  </conditionalFormatting>
  <conditionalFormatting sqref="G16">
    <cfRule type="cellIs" dxfId="46" priority="16" operator="equal">
      <formula>"Warning! A serious error has occurred. Press 'undo' or revert to last saved copy to correct the error"</formula>
    </cfRule>
  </conditionalFormatting>
  <conditionalFormatting sqref="G16">
    <cfRule type="cellIs" dxfId="45" priority="15" operator="equal">
      <formula>"Avoid using 'cut' or 'drag and drop' functions"</formula>
    </cfRule>
  </conditionalFormatting>
  <conditionalFormatting sqref="G17">
    <cfRule type="cellIs" dxfId="44" priority="14" operator="equal">
      <formula>"Warning! A serious error has occurred. Press 'undo' or revert to last saved copy to correct the error"</formula>
    </cfRule>
  </conditionalFormatting>
  <conditionalFormatting sqref="G17">
    <cfRule type="cellIs" dxfId="43" priority="13" operator="equal">
      <formula>"Avoid using 'cut' or 'drag and drop' functions"</formula>
    </cfRule>
  </conditionalFormatting>
  <conditionalFormatting sqref="G18">
    <cfRule type="cellIs" dxfId="42" priority="12" operator="equal">
      <formula>"Warning! A serious error has occurred. Press 'undo' or revert to last saved copy to correct the error"</formula>
    </cfRule>
  </conditionalFormatting>
  <conditionalFormatting sqref="G18">
    <cfRule type="cellIs" dxfId="41" priority="11" operator="equal">
      <formula>"Avoid using 'cut' or 'drag and drop' functions"</formula>
    </cfRule>
  </conditionalFormatting>
  <conditionalFormatting sqref="G20">
    <cfRule type="cellIs" dxfId="40" priority="10" operator="equal">
      <formula>"Warning! A serious error has occurred. Press 'undo' or revert to last saved copy to correct the error"</formula>
    </cfRule>
  </conditionalFormatting>
  <conditionalFormatting sqref="G20">
    <cfRule type="cellIs" dxfId="39" priority="9" operator="equal">
      <formula>"Avoid using 'cut' or 'drag and drop' functions"</formula>
    </cfRule>
  </conditionalFormatting>
  <conditionalFormatting sqref="G14">
    <cfRule type="cellIs" dxfId="38" priority="8" operator="equal">
      <formula>"Warning! A serious error has occurred. Press 'undo' or revert to last saved copy to correct the error"</formula>
    </cfRule>
  </conditionalFormatting>
  <conditionalFormatting sqref="G14">
    <cfRule type="cellIs" dxfId="37" priority="7" operator="equal">
      <formula>"Avoid using 'cut' or 'drag and drop' functions"</formula>
    </cfRule>
  </conditionalFormatting>
  <conditionalFormatting sqref="G21">
    <cfRule type="cellIs" dxfId="36" priority="6" operator="equal">
      <formula>"Warning! A serious error has occurred. Press 'undo' or revert to last saved copy to correct the error"</formula>
    </cfRule>
  </conditionalFormatting>
  <conditionalFormatting sqref="G21">
    <cfRule type="cellIs" dxfId="35" priority="5" operator="equal">
      <formula>"Avoid using 'cut' or 'drag and drop' functions"</formula>
    </cfRule>
  </conditionalFormatting>
  <conditionalFormatting sqref="I11:I13 I15:I20">
    <cfRule type="cellIs" dxfId="34" priority="4" operator="equal">
      <formula>"Warning; an error has occurred. Avoid using cut and paste functions. Press 'undo' or revert to last saved copy to correct the error"</formula>
    </cfRule>
  </conditionalFormatting>
  <conditionalFormatting sqref="I10">
    <cfRule type="cellIs" dxfId="33" priority="3" operator="equal">
      <formula>"Warning; an error has occurred. Avoid using cut and paste functions. Press 'undo' or revert to last saved copy to correct the error"</formula>
    </cfRule>
  </conditionalFormatting>
  <conditionalFormatting sqref="I14">
    <cfRule type="cellIs" dxfId="32" priority="2" operator="equal">
      <formula>"Warning; an error has occurred. Avoid using cut and paste functions. Press 'undo' or revert to last saved copy to correct the error"</formula>
    </cfRule>
  </conditionalFormatting>
  <conditionalFormatting sqref="I21">
    <cfRule type="cellIs" dxfId="31" priority="1" operator="equal">
      <formula>"Warning; an error has occurred. Avoid using cut and paste functions. Press 'undo' or revert to last saved copy to correct the error"</formula>
    </cfRule>
  </conditionalFormatting>
  <dataValidations count="12">
    <dataValidation allowBlank="1" showInputMessage="1" sqref="F23" xr:uid="{A4C7DA14-D1C8-49F8-A0B5-40AAA0625AB8}"/>
    <dataValidation type="list" errorStyle="warning" allowBlank="1" showInputMessage="1" showErrorMessage="1" error="Choose an option from the dropdown list" sqref="F21" xr:uid="{7AC5CF4B-84B7-4508-B1DE-87F55B7BD49A}">
      <formula1>"yes,no,not applicable"</formula1>
    </dataValidation>
    <dataValidation type="list" errorStyle="warning" allowBlank="1" showInputMessage="1" showErrorMessage="1" error="Choose an option from the dropdown list" sqref="F19" xr:uid="{E34018FB-3AD4-4AF3-8FFB-564244AB169A}">
      <formula1>"yes many entry points, some entry points, no"</formula1>
    </dataValidation>
    <dataValidation type="list" errorStyle="warning" allowBlank="1" showInputMessage="1" showErrorMessage="1" error="Choose an option from the dropdown list" sqref="F12" xr:uid="{8F6B5F93-6683-4EF3-828C-3703B86A60FC}">
      <formula1>"yes very complex and/or long, somewhat complex, no"</formula1>
    </dataValidation>
    <dataValidation type="list" errorStyle="warning" allowBlank="1" showInputMessage="1" showErrorMessage="1" error="Choose an option from the dropdown list" sqref="F14" xr:uid="{2B0F164C-F866-4189-853E-131FF8B7F117}">
      <formula1>"yes all suppliers are audited,some suppliers are audited, no"</formula1>
    </dataValidation>
    <dataValidation type="list" errorStyle="warning" allowBlank="1" showInputMessage="1" showErrorMessage="1" error="Choose an option from the dropdown list" sqref="F13 F10:F11" xr:uid="{C6598ACD-47BC-4061-8F15-ACA2AD9DAC0C}">
      <formula1>"yes,no"</formula1>
    </dataValidation>
    <dataValidation type="list" errorStyle="warning" allowBlank="1" showErrorMessage="1" error="Choose an option from the dropdown list" sqref="F16" xr:uid="{F7230F53-CA6C-47A2-A5C7-8D0FE803D6AE}">
      <formula1>"yes,no,not applicable"</formula1>
    </dataValidation>
    <dataValidation type="list" errorStyle="warning" allowBlank="1" showErrorMessage="1" error="Choose an option from the dropdown list" sqref="F15" xr:uid="{3E945844-99B3-4E09-B6EB-9974E09AA8E1}">
      <formula1>"yes,no"</formula1>
    </dataValidation>
    <dataValidation type="list" errorStyle="warning" allowBlank="1" showInputMessage="1" showErrorMessage="1" error="Choose an option from the dropdown list" sqref="F20" xr:uid="{D7D11A26-607C-40E8-A0D3-6CF95FA929E7}">
      <formula1>"yes all suppliers,some suppliers,no"</formula1>
    </dataValidation>
    <dataValidation type="list" errorStyle="warning" allowBlank="1" showInputMessage="1" showErrorMessage="1" error="Choose an option from the dropdown list" sqref="F17" xr:uid="{DE627B84-B867-461E-B285-B88BE25702AC}">
      <formula1>"yes very likely,somewhat likely,no,not applicable"</formula1>
    </dataValidation>
    <dataValidation type="list" errorStyle="warning" allowBlank="1" showInputMessage="1" showErrorMessage="1" error="Choose an option from the dropdown list" sqref="F18" xr:uid="{780E87E2-4B0C-45C2-A24A-C539B1DE11B5}">
      <formula1>"always,sometimes,never"</formula1>
    </dataValidation>
    <dataValidation type="list" allowBlank="1" showInputMessage="1" showErrorMessage="1" sqref="F24" xr:uid="{51600C60-6921-42B3-AE7D-8373C632A2C4}">
      <formula1>"Very likely/certain to be detected,Likely to be detected,Fairly likely to be detected,Unlikely to be detected,Very unlikely to be detected"</formula1>
    </dataValidation>
  </dataValidations>
  <hyperlinks>
    <hyperlink ref="C26" location="Instructions!A12" display="Back to Instructions page" xr:uid="{EDB1DE0A-13A7-4A05-9EB8-84D4B6A31A23}"/>
    <hyperlink ref="C28" location="'Results section 1'!A1" display="View and print results" xr:uid="{566EBBAC-9ED2-40B2-8E4D-C87BCBAAC741}"/>
    <hyperlink ref="E14" location="Instructions!C257" display="Info" xr:uid="{1EEB7AF9-B1CA-49F6-BF74-0CDCA1DC1EA0}"/>
    <hyperlink ref="E15" location="Instructions!C261" display="Info" xr:uid="{170A3B94-47E2-4AB0-9159-9124DECE680A}"/>
    <hyperlink ref="E16" location="Instructions!C265" display="Info" xr:uid="{3F1F985A-EC48-434D-A9EA-B352EC056111}"/>
    <hyperlink ref="E20" location="Instructions!C269" display="Info" xr:uid="{8DEC682A-4A96-468F-ABAE-61F64BA667F2}"/>
    <hyperlink ref="E21" location="Instructions!C273" display="Info" xr:uid="{209DD506-FE69-4957-9441-1A49B00EE2EF}"/>
    <hyperlink ref="E23" location="Instructions!C278" display="Info" xr:uid="{607CDC8F-C4C3-4E26-8C35-94A07081CF2A}"/>
  </hyperlinks>
  <pageMargins left="0.7" right="0.7" top="0.75" bottom="0.75" header="0.3" footer="0.3"/>
  <pageSetup paperSize="9" orientation="portrait" horizontalDpi="0" verticalDpi="0" r:id="rId1"/>
  <drawing r:id="rId2"/>
  <legacyDrawing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H70"/>
  <sheetViews>
    <sheetView showGridLines="0" showRowColHeaders="0" showRuler="0" view="pageLayout" zoomScale="95" zoomScaleNormal="100" zoomScaleSheetLayoutView="100" zoomScalePageLayoutView="95" workbookViewId="0">
      <selection activeCell="C2" sqref="C2"/>
    </sheetView>
  </sheetViews>
  <sheetFormatPr defaultColWidth="9.140625" defaultRowHeight="13.15"/>
  <cols>
    <col min="1" max="1" width="7" style="1" customWidth="1"/>
    <col min="2" max="2" width="20.140625" style="1" customWidth="1"/>
    <col min="3" max="4" width="19.28515625" style="1" customWidth="1"/>
    <col min="5" max="5" width="19.5703125" style="1" customWidth="1"/>
    <col min="6" max="16384" width="9.140625" style="1"/>
  </cols>
  <sheetData>
    <row r="1" spans="2:7" ht="21">
      <c r="B1" s="2" t="str">
        <f>IF('Scope worksheet'!D4="initial screening","Initial Screening for Food Fraud","Vulnerability Assessment for Food Fraud")</f>
        <v>Vulnerability Assessment for Food Fraud</v>
      </c>
    </row>
    <row r="2" spans="2:7" s="39" customFormat="1" ht="22.9" customHeight="1">
      <c r="B2" s="176" t="s">
        <v>139</v>
      </c>
      <c r="C2" s="177" t="str">
        <f>IF('Scope worksheet'!D6="Insert name of material or material group here","Enter group name on scope worksheet",'Scope worksheet'!D6)</f>
        <v>Enter group name on scope worksheet</v>
      </c>
      <c r="D2" s="144"/>
    </row>
    <row r="3" spans="2:7" ht="24" customHeight="1">
      <c r="B3" s="96" t="s">
        <v>3</v>
      </c>
      <c r="C3" s="366" t="str">
        <f>IF('Scope worksheet'!D7="Type the name of the food business here","Name of food business",'Scope worksheet'!D7)</f>
        <v>Name of food business</v>
      </c>
      <c r="D3" s="366"/>
      <c r="E3" s="366"/>
      <c r="F3" s="117"/>
    </row>
    <row r="4" spans="2:7" ht="24" customHeight="1">
      <c r="B4" s="96" t="s">
        <v>140</v>
      </c>
      <c r="C4" s="366" t="str">
        <f>'Scope worksheet'!D8</f>
        <v>Site(s) for this assessment</v>
      </c>
      <c r="D4" s="366"/>
      <c r="E4" s="366"/>
      <c r="F4" s="117"/>
    </row>
    <row r="5" spans="2:7" ht="24" customHeight="1">
      <c r="B5" s="96" t="s">
        <v>6</v>
      </c>
      <c r="C5" s="366" t="str">
        <f>IF('Scope worksheet'!C10="insert your name here","Enter your name on the scope worksheet",'Scope worksheet'!C10)</f>
        <v>Enter your name on the scope worksheet</v>
      </c>
      <c r="D5" s="366"/>
      <c r="E5" s="366"/>
      <c r="F5" s="117"/>
    </row>
    <row r="6" spans="2:7" ht="24" customHeight="1">
      <c r="B6" s="13"/>
      <c r="C6" s="366" t="str">
        <f>IF('Scope worksheet'!C11="insert your job title here","Enter your job title on the scope worksheet",'Scope worksheet'!C11)</f>
        <v>Enter your job title on the scope worksheet</v>
      </c>
      <c r="D6" s="366"/>
      <c r="E6" s="366"/>
      <c r="F6" s="119"/>
    </row>
    <row r="7" spans="2:7" ht="24" customHeight="1">
      <c r="B7" s="96" t="s">
        <v>9</v>
      </c>
      <c r="C7" s="122">
        <f ca="1">'Scope worksheet'!C13</f>
        <v>44552</v>
      </c>
      <c r="D7" s="121"/>
      <c r="E7" s="123"/>
      <c r="F7" s="7"/>
      <c r="G7" s="4"/>
    </row>
    <row r="8" spans="2:7" ht="24" customHeight="1">
      <c r="B8" s="96" t="s">
        <v>10</v>
      </c>
      <c r="C8" s="122">
        <f ca="1">'Scope worksheet'!C14</f>
        <v>44917</v>
      </c>
      <c r="D8" s="123"/>
      <c r="E8" s="123"/>
      <c r="F8" s="7"/>
      <c r="G8" s="37"/>
    </row>
    <row r="9" spans="2:7" ht="29.45" customHeight="1">
      <c r="B9" s="21" t="s">
        <v>141</v>
      </c>
      <c r="C9" s="120"/>
      <c r="D9" s="7"/>
      <c r="E9" s="7"/>
      <c r="F9" s="7"/>
      <c r="G9" s="37"/>
    </row>
    <row r="10" spans="2:7" ht="67.900000000000006" customHeight="1">
      <c r="B10" s="364" t="s">
        <v>142</v>
      </c>
      <c r="C10" s="365"/>
      <c r="D10" s="365"/>
      <c r="E10" s="365"/>
      <c r="F10" s="7"/>
      <c r="G10" s="37"/>
    </row>
    <row r="11" spans="2:7" ht="23.25" customHeight="1">
      <c r="B11" s="21" t="s">
        <v>11</v>
      </c>
      <c r="F11" s="4"/>
      <c r="G11" s="4"/>
    </row>
    <row r="12" spans="2:7" ht="8.25" customHeight="1">
      <c r="F12" s="4"/>
      <c r="G12" s="4"/>
    </row>
    <row r="13" spans="2:7" ht="28.5" customHeight="1">
      <c r="B13" s="124" t="str">
        <f>IF('Scope worksheet'!D5="product","Product group","Material group")</f>
        <v>Material group</v>
      </c>
      <c r="C13" s="367" t="str">
        <f>$C$2</f>
        <v>Enter group name on scope worksheet</v>
      </c>
      <c r="D13" s="367"/>
      <c r="E13" s="368"/>
      <c r="F13" s="4"/>
      <c r="G13" s="4"/>
    </row>
    <row r="14" spans="2:7" ht="32.25" customHeight="1">
      <c r="B14" s="125" t="s">
        <v>143</v>
      </c>
      <c r="C14" s="369" t="str">
        <f>IF('Scope worksheet'!D19="Type a description of the group of materials here","",'Scope worksheet'!D19)</f>
        <v/>
      </c>
      <c r="D14" s="369"/>
      <c r="E14" s="370"/>
    </row>
    <row r="15" spans="2:7" ht="45" customHeight="1">
      <c r="B15" s="118" t="str">
        <f>IF('Scope worksheet'!D5="product","","Used in these products")</f>
        <v>Used in these products</v>
      </c>
      <c r="C15" s="361" t="str">
        <f>IF('Scope worksheet'!D5="product","",IF('Scope worksheet'!D20="Briefly describe product range/s that contain this ingredient or raw material.  If you need more space, use product list sheet.","",'Scope worksheet'!D20))</f>
        <v>Briefly describe product range/s that contain this ingredient or raw material</v>
      </c>
      <c r="D15" s="362"/>
      <c r="E15" s="363"/>
    </row>
    <row r="16" spans="2:7" ht="37.5" customHeight="1">
      <c r="B16" s="360" t="str">
        <f>'Scope worksheet'!B21</f>
        <v>Material names and/or codes included in this assessment</v>
      </c>
      <c r="C16" s="419"/>
      <c r="D16" s="419"/>
      <c r="E16" s="420"/>
    </row>
    <row r="17" spans="2:5">
      <c r="B17" s="38" t="str">
        <f>IF('Scope worksheet'!B22="add material names","",'Scope worksheet'!B22)</f>
        <v/>
      </c>
      <c r="C17" s="38" t="str">
        <f>IF('Scope worksheet'!C22="","",'Scope worksheet'!C22)</f>
        <v/>
      </c>
      <c r="D17" s="38" t="str">
        <f>IF('Scope worksheet'!D22="","",'Scope worksheet'!D22)</f>
        <v/>
      </c>
      <c r="E17" s="38" t="str">
        <f>IF('Scope worksheet'!E22="","",'Scope worksheet'!E22)</f>
        <v/>
      </c>
    </row>
    <row r="18" spans="2:5">
      <c r="B18" s="38" t="str">
        <f>IF('Scope worksheet'!B23="","",'Scope worksheet'!B23)</f>
        <v/>
      </c>
      <c r="C18" s="38" t="str">
        <f>IF('Scope worksheet'!C23="","",'Scope worksheet'!C23)</f>
        <v/>
      </c>
      <c r="D18" s="38" t="str">
        <f>IF('Scope worksheet'!D23="","",'Scope worksheet'!D23)</f>
        <v/>
      </c>
      <c r="E18" s="38" t="str">
        <f>IF('Scope worksheet'!E23="","",'Scope worksheet'!E23)</f>
        <v/>
      </c>
    </row>
    <row r="19" spans="2:5">
      <c r="B19" s="38" t="str">
        <f>IF('Scope worksheet'!B24="","",'Scope worksheet'!B24)</f>
        <v/>
      </c>
      <c r="C19" s="38" t="str">
        <f>IF('Scope worksheet'!C24="","",'Scope worksheet'!C24)</f>
        <v/>
      </c>
      <c r="D19" s="38" t="str">
        <f>IF('Scope worksheet'!D24="","",'Scope worksheet'!D24)</f>
        <v/>
      </c>
      <c r="E19" s="38" t="str">
        <f>IF('Scope worksheet'!E24="","",'Scope worksheet'!E24)</f>
        <v/>
      </c>
    </row>
    <row r="20" spans="2:5">
      <c r="B20" s="38" t="str">
        <f>IF('Scope worksheet'!B25="","",'Scope worksheet'!B25)</f>
        <v/>
      </c>
      <c r="C20" s="38" t="str">
        <f>IF('Scope worksheet'!C25="","",'Scope worksheet'!C25)</f>
        <v/>
      </c>
      <c r="D20" s="38" t="str">
        <f>IF('Scope worksheet'!D25="","",'Scope worksheet'!D25)</f>
        <v/>
      </c>
      <c r="E20" s="38" t="str">
        <f>IF('Scope worksheet'!E25="","",'Scope worksheet'!E25)</f>
        <v/>
      </c>
    </row>
    <row r="21" spans="2:5">
      <c r="B21" s="38" t="str">
        <f>IF('Scope worksheet'!B26="","",'Scope worksheet'!B26)</f>
        <v/>
      </c>
      <c r="C21" s="38" t="str">
        <f>IF('Scope worksheet'!C26="","",'Scope worksheet'!C26)</f>
        <v/>
      </c>
      <c r="D21" s="38" t="str">
        <f>IF('Scope worksheet'!D26="","",'Scope worksheet'!D26)</f>
        <v/>
      </c>
      <c r="E21" s="38" t="str">
        <f>IF('Scope worksheet'!E26="","",'Scope worksheet'!E26)</f>
        <v/>
      </c>
    </row>
    <row r="22" spans="2:5">
      <c r="B22" s="38" t="str">
        <f>IF('Scope worksheet'!B27="","",'Scope worksheet'!B27)</f>
        <v/>
      </c>
      <c r="C22" s="38" t="str">
        <f>IF('Scope worksheet'!C27="","",'Scope worksheet'!C27)</f>
        <v/>
      </c>
      <c r="D22" s="38" t="str">
        <f>IF('Scope worksheet'!D27="","",'Scope worksheet'!D27)</f>
        <v/>
      </c>
      <c r="E22" s="38" t="str">
        <f>IF('Scope worksheet'!E27="","",'Scope worksheet'!E27)</f>
        <v/>
      </c>
    </row>
    <row r="23" spans="2:5">
      <c r="B23" s="38" t="str">
        <f>IF('Scope worksheet'!B28="","",'Scope worksheet'!B28)</f>
        <v/>
      </c>
      <c r="C23" s="38" t="str">
        <f>IF('Scope worksheet'!C28="","",'Scope worksheet'!C28)</f>
        <v/>
      </c>
      <c r="D23" s="38" t="str">
        <f>IF('Scope worksheet'!D28="","",'Scope worksheet'!D28)</f>
        <v/>
      </c>
      <c r="E23" s="38" t="str">
        <f>IF('Scope worksheet'!E28="","",'Scope worksheet'!E28)</f>
        <v/>
      </c>
    </row>
    <row r="24" spans="2:5">
      <c r="B24" s="38" t="str">
        <f>IF('Scope worksheet'!B29="","",'Scope worksheet'!B29)</f>
        <v/>
      </c>
      <c r="C24" s="38" t="str">
        <f>IF('Scope worksheet'!C29="","",'Scope worksheet'!C29)</f>
        <v/>
      </c>
      <c r="D24" s="38" t="str">
        <f>IF('Scope worksheet'!D29="","",'Scope worksheet'!D29)</f>
        <v/>
      </c>
      <c r="E24" s="38" t="str">
        <f>IF('Scope worksheet'!E29="","",'Scope worksheet'!E29)</f>
        <v/>
      </c>
    </row>
    <row r="25" spans="2:5">
      <c r="B25" s="38" t="str">
        <f>IF('Scope worksheet'!B30="","",'Scope worksheet'!B30)</f>
        <v/>
      </c>
      <c r="C25" s="38" t="str">
        <f>IF('Scope worksheet'!C30="","",'Scope worksheet'!C30)</f>
        <v/>
      </c>
      <c r="D25" s="38" t="str">
        <f>IF('Scope worksheet'!D30="","",'Scope worksheet'!D30)</f>
        <v/>
      </c>
      <c r="E25" s="38" t="str">
        <f>IF('Scope worksheet'!E30="","",'Scope worksheet'!E30)</f>
        <v/>
      </c>
    </row>
    <row r="26" spans="2:5">
      <c r="B26" s="38" t="str">
        <f>IF('Scope worksheet'!B31="","",'Scope worksheet'!B31)</f>
        <v/>
      </c>
      <c r="C26" s="38" t="str">
        <f>IF('Scope worksheet'!C31="","",'Scope worksheet'!C31)</f>
        <v/>
      </c>
      <c r="D26" s="38" t="str">
        <f>IF('Scope worksheet'!D31="","",'Scope worksheet'!D31)</f>
        <v/>
      </c>
      <c r="E26" s="38" t="str">
        <f>IF('Scope worksheet'!E31="","",'Scope worksheet'!E31)</f>
        <v/>
      </c>
    </row>
    <row r="27" spans="2:5">
      <c r="B27" s="38" t="str">
        <f>IF('Scope worksheet'!B32="","",'Scope worksheet'!B32)</f>
        <v/>
      </c>
      <c r="C27" s="38" t="str">
        <f>IF('Scope worksheet'!C32="","",'Scope worksheet'!C32)</f>
        <v/>
      </c>
      <c r="D27" s="38" t="str">
        <f>IF('Scope worksheet'!D32="","",'Scope worksheet'!D32)</f>
        <v/>
      </c>
      <c r="E27" s="38" t="str">
        <f>IF('Scope worksheet'!E32="","",'Scope worksheet'!E32)</f>
        <v/>
      </c>
    </row>
    <row r="28" spans="2:5">
      <c r="B28" s="38" t="str">
        <f>IF('Scope worksheet'!B33="","",'Scope worksheet'!B33)</f>
        <v/>
      </c>
      <c r="C28" s="38" t="str">
        <f>IF('Scope worksheet'!C33="","",'Scope worksheet'!C33)</f>
        <v/>
      </c>
      <c r="D28" s="38" t="str">
        <f>IF('Scope worksheet'!D33="","",'Scope worksheet'!D33)</f>
        <v/>
      </c>
      <c r="E28" s="38" t="str">
        <f>IF('Scope worksheet'!E33="","",'Scope worksheet'!E33)</f>
        <v/>
      </c>
    </row>
    <row r="29" spans="2:5">
      <c r="B29" s="38" t="str">
        <f>IF('Scope worksheet'!B34="","",'Scope worksheet'!B34)</f>
        <v/>
      </c>
      <c r="C29" s="38" t="str">
        <f>IF('Scope worksheet'!C34="","",'Scope worksheet'!C34)</f>
        <v/>
      </c>
      <c r="D29" s="38" t="str">
        <f>IF('Scope worksheet'!D34="","",'Scope worksheet'!D34)</f>
        <v/>
      </c>
      <c r="E29" s="38" t="str">
        <f>IF('Scope worksheet'!E34="","",'Scope worksheet'!E34)</f>
        <v/>
      </c>
    </row>
    <row r="30" spans="2:5">
      <c r="B30" s="38" t="str">
        <f>IF('Scope worksheet'!B35="","",'Scope worksheet'!B35)</f>
        <v/>
      </c>
      <c r="C30" s="38" t="str">
        <f>IF('Scope worksheet'!C35="","",'Scope worksheet'!C35)</f>
        <v/>
      </c>
      <c r="D30" s="38" t="str">
        <f>IF('Scope worksheet'!D35="","",'Scope worksheet'!D35)</f>
        <v/>
      </c>
      <c r="E30" s="38" t="str">
        <f>IF('Scope worksheet'!E35="","",'Scope worksheet'!E35)</f>
        <v/>
      </c>
    </row>
    <row r="31" spans="2:5">
      <c r="B31" s="38" t="str">
        <f>IF('Scope worksheet'!B36="","",'Scope worksheet'!B36)</f>
        <v/>
      </c>
      <c r="C31" s="38" t="str">
        <f>IF('Scope worksheet'!C36="","",'Scope worksheet'!C36)</f>
        <v/>
      </c>
      <c r="D31" s="38" t="str">
        <f>IF('Scope worksheet'!D36="","",'Scope worksheet'!D36)</f>
        <v/>
      </c>
      <c r="E31" s="38" t="str">
        <f>IF('Scope worksheet'!E36="","",'Scope worksheet'!E36)</f>
        <v/>
      </c>
    </row>
    <row r="32" spans="2:5">
      <c r="B32" s="38" t="str">
        <f>IF('Scope worksheet'!B37="","",'Scope worksheet'!B37)</f>
        <v/>
      </c>
      <c r="C32" s="38" t="str">
        <f>IF('Scope worksheet'!C37="","",'Scope worksheet'!C37)</f>
        <v/>
      </c>
      <c r="D32" s="38" t="str">
        <f>IF('Scope worksheet'!D37="","",'Scope worksheet'!D37)</f>
        <v/>
      </c>
      <c r="E32" s="38" t="str">
        <f>IF('Scope worksheet'!E37="","",'Scope worksheet'!E37)</f>
        <v/>
      </c>
    </row>
    <row r="33" spans="1:8">
      <c r="B33" s="38" t="str">
        <f>IF('Scope worksheet'!B38="","",'Scope worksheet'!B38)</f>
        <v/>
      </c>
      <c r="C33" s="38" t="str">
        <f>IF('Scope worksheet'!C38="","",'Scope worksheet'!C38)</f>
        <v/>
      </c>
      <c r="D33" s="38" t="str">
        <f>IF('Scope worksheet'!D38="","",'Scope worksheet'!D38)</f>
        <v/>
      </c>
      <c r="E33" s="38" t="str">
        <f>IF('Scope worksheet'!E38="","",'Scope worksheet'!E38)</f>
        <v/>
      </c>
    </row>
    <row r="34" spans="1:8">
      <c r="B34" s="38" t="str">
        <f>IF('Scope worksheet'!B39="","",'Scope worksheet'!B39)</f>
        <v/>
      </c>
      <c r="C34" s="38" t="str">
        <f>IF('Scope worksheet'!C39="","",'Scope worksheet'!C39)</f>
        <v/>
      </c>
      <c r="D34" s="38" t="str">
        <f>IF('Scope worksheet'!D39="","",'Scope worksheet'!D39)</f>
        <v/>
      </c>
      <c r="E34" s="38" t="str">
        <f>IF('Scope worksheet'!E39="","",'Scope worksheet'!E39)</f>
        <v/>
      </c>
    </row>
    <row r="35" spans="1:8">
      <c r="B35" s="38" t="str">
        <f>IF('Scope worksheet'!B40="","",'Scope worksheet'!B40)</f>
        <v/>
      </c>
      <c r="C35" s="38" t="str">
        <f>IF('Scope worksheet'!C40="","",'Scope worksheet'!C40)</f>
        <v/>
      </c>
      <c r="D35" s="38" t="str">
        <f>IF('Scope worksheet'!D40="","",'Scope worksheet'!D40)</f>
        <v/>
      </c>
      <c r="E35" s="38" t="str">
        <f>IF('Scope worksheet'!E40="","",'Scope worksheet'!E40)</f>
        <v/>
      </c>
    </row>
    <row r="36" spans="1:8">
      <c r="B36" s="38" t="str">
        <f>IF('Scope worksheet'!B41="","",'Scope worksheet'!B41)</f>
        <v/>
      </c>
      <c r="C36" s="38" t="str">
        <f>IF('Scope worksheet'!C41="","",'Scope worksheet'!C41)</f>
        <v/>
      </c>
      <c r="D36" s="38" t="str">
        <f>IF('Scope worksheet'!D41="","",'Scope worksheet'!D41)</f>
        <v/>
      </c>
      <c r="E36" s="38" t="str">
        <f>IF('Scope worksheet'!E41="","",'Scope worksheet'!E41)</f>
        <v/>
      </c>
    </row>
    <row r="37" spans="1:8">
      <c r="B37" s="38" t="str">
        <f>IF('Scope worksheet'!B42="","",'Scope worksheet'!B42)</f>
        <v/>
      </c>
      <c r="C37" s="38" t="str">
        <f>IF('Scope worksheet'!C42="","",'Scope worksheet'!C42)</f>
        <v/>
      </c>
      <c r="D37" s="38" t="str">
        <f>IF('Scope worksheet'!D42="","",'Scope worksheet'!D42)</f>
        <v/>
      </c>
      <c r="E37" s="38" t="str">
        <f>IF('Scope worksheet'!E42="","",'Scope worksheet'!E42)</f>
        <v/>
      </c>
    </row>
    <row r="38" spans="1:8" ht="8.4499999999999993" customHeight="1"/>
    <row r="39" spans="1:8">
      <c r="A39"/>
      <c r="B39"/>
      <c r="C39"/>
      <c r="D39"/>
      <c r="E39"/>
      <c r="F39"/>
    </row>
    <row r="40" spans="1:8" ht="18" customHeight="1">
      <c r="A40"/>
      <c r="B40"/>
      <c r="C40"/>
      <c r="D40"/>
      <c r="E40"/>
      <c r="F40"/>
    </row>
    <row r="41" spans="1:8" ht="13.9" customHeight="1">
      <c r="A41"/>
      <c r="B41"/>
      <c r="C41"/>
      <c r="D41"/>
      <c r="E41"/>
      <c r="F41"/>
      <c r="G41" s="25"/>
      <c r="H41" s="26"/>
    </row>
    <row r="42" spans="1:8" ht="5.45" customHeight="1">
      <c r="A42"/>
      <c r="B42"/>
      <c r="C42"/>
      <c r="D42"/>
      <c r="E42"/>
      <c r="F42"/>
      <c r="G42" s="126"/>
      <c r="H42" s="127"/>
    </row>
    <row r="43" spans="1:8" ht="51" customHeight="1">
      <c r="A43"/>
      <c r="B43"/>
      <c r="C43"/>
      <c r="D43"/>
      <c r="E43"/>
      <c r="F43"/>
      <c r="G43" s="127"/>
    </row>
    <row r="44" spans="1:8" ht="50.45" customHeight="1">
      <c r="A44"/>
      <c r="B44"/>
      <c r="C44"/>
      <c r="D44"/>
      <c r="E44"/>
      <c r="F44"/>
      <c r="G44" s="127"/>
    </row>
    <row r="45" spans="1:8" ht="6" customHeight="1">
      <c r="A45"/>
      <c r="B45"/>
      <c r="C45"/>
      <c r="D45"/>
      <c r="E45"/>
      <c r="F45"/>
      <c r="G45" s="127"/>
      <c r="H45" s="127"/>
    </row>
    <row r="46" spans="1:8" ht="7.15" customHeight="1">
      <c r="A46"/>
      <c r="B46"/>
      <c r="C46"/>
      <c r="D46"/>
      <c r="E46"/>
      <c r="F46"/>
    </row>
    <row r="47" spans="1:8">
      <c r="A47"/>
      <c r="B47"/>
      <c r="C47"/>
      <c r="D47"/>
      <c r="E47"/>
      <c r="F47"/>
    </row>
    <row r="48" spans="1:8">
      <c r="A48"/>
      <c r="B48"/>
      <c r="C48"/>
      <c r="D48"/>
      <c r="E48"/>
      <c r="F48"/>
    </row>
    <row r="49" spans="1:8">
      <c r="A49"/>
      <c r="B49"/>
      <c r="C49"/>
      <c r="D49"/>
      <c r="E49"/>
      <c r="F49"/>
    </row>
    <row r="50" spans="1:8">
      <c r="A50"/>
      <c r="B50"/>
      <c r="C50"/>
      <c r="D50"/>
      <c r="E50"/>
      <c r="F50"/>
    </row>
    <row r="51" spans="1:8" ht="9.6" customHeight="1">
      <c r="A51"/>
      <c r="B51"/>
      <c r="C51"/>
      <c r="D51"/>
      <c r="E51"/>
      <c r="F51"/>
      <c r="G51" s="128"/>
      <c r="H51" s="129"/>
    </row>
    <row r="52" spans="1:8" s="7" customFormat="1" ht="21.6" customHeight="1">
      <c r="A52"/>
      <c r="B52"/>
      <c r="C52"/>
      <c r="D52"/>
      <c r="E52"/>
      <c r="F52"/>
    </row>
    <row r="53" spans="1:8" ht="28.9" customHeight="1">
      <c r="A53"/>
      <c r="B53"/>
      <c r="C53"/>
      <c r="D53"/>
      <c r="E53"/>
      <c r="F53"/>
    </row>
    <row r="54" spans="1:8" ht="28.9" customHeight="1">
      <c r="A54"/>
      <c r="B54"/>
      <c r="C54"/>
      <c r="D54"/>
      <c r="E54"/>
      <c r="F54"/>
    </row>
    <row r="55" spans="1:8" ht="28.9" customHeight="1">
      <c r="A55"/>
      <c r="B55"/>
      <c r="C55"/>
      <c r="D55"/>
      <c r="E55"/>
      <c r="F55"/>
    </row>
    <row r="56" spans="1:8" ht="28.9" customHeight="1">
      <c r="A56"/>
      <c r="B56"/>
      <c r="C56"/>
      <c r="D56"/>
      <c r="E56"/>
      <c r="F56"/>
    </row>
    <row r="57" spans="1:8" ht="28.9" customHeight="1">
      <c r="A57"/>
      <c r="B57"/>
      <c r="C57"/>
      <c r="D57"/>
      <c r="E57"/>
      <c r="F57"/>
    </row>
    <row r="58" spans="1:8" ht="28.9" customHeight="1">
      <c r="A58"/>
      <c r="B58"/>
      <c r="C58"/>
      <c r="D58"/>
      <c r="E58"/>
      <c r="F58"/>
    </row>
    <row r="59" spans="1:8" ht="28.9" customHeight="1">
      <c r="A59"/>
      <c r="B59"/>
      <c r="C59"/>
      <c r="D59"/>
      <c r="E59"/>
      <c r="F59"/>
    </row>
    <row r="60" spans="1:8" ht="28.9" customHeight="1">
      <c r="A60"/>
      <c r="B60"/>
      <c r="C60"/>
      <c r="D60"/>
      <c r="E60"/>
      <c r="F60"/>
    </row>
    <row r="61" spans="1:8" ht="3" customHeight="1">
      <c r="A61"/>
      <c r="B61"/>
      <c r="C61"/>
      <c r="D61"/>
      <c r="E61"/>
      <c r="F61"/>
    </row>
    <row r="62" spans="1:8" s="7" customFormat="1" ht="21.6" customHeight="1">
      <c r="A62"/>
      <c r="B62"/>
      <c r="C62"/>
      <c r="D62"/>
      <c r="E62"/>
      <c r="F62"/>
    </row>
    <row r="63" spans="1:8" ht="28.9" customHeight="1">
      <c r="A63"/>
      <c r="B63"/>
      <c r="C63"/>
      <c r="D63"/>
      <c r="E63"/>
      <c r="F63"/>
    </row>
    <row r="64" spans="1:8" ht="28.9" customHeight="1">
      <c r="A64"/>
      <c r="B64"/>
      <c r="C64"/>
      <c r="D64"/>
      <c r="E64"/>
      <c r="F64"/>
    </row>
    <row r="65" spans="1:6" ht="28.9" customHeight="1">
      <c r="A65"/>
      <c r="B65"/>
      <c r="C65"/>
      <c r="D65"/>
      <c r="E65"/>
      <c r="F65"/>
    </row>
    <row r="66" spans="1:6" ht="28.9" customHeight="1">
      <c r="A66"/>
      <c r="B66"/>
      <c r="C66"/>
      <c r="D66"/>
      <c r="E66"/>
      <c r="F66"/>
    </row>
    <row r="67" spans="1:6" ht="28.9" customHeight="1">
      <c r="A67"/>
      <c r="B67"/>
      <c r="C67"/>
      <c r="D67"/>
      <c r="E67"/>
      <c r="F67"/>
    </row>
    <row r="68" spans="1:6" ht="28.9" customHeight="1">
      <c r="A68"/>
      <c r="B68"/>
      <c r="C68"/>
      <c r="D68"/>
      <c r="E68"/>
      <c r="F68"/>
    </row>
    <row r="69" spans="1:6" ht="28.9" customHeight="1">
      <c r="A69"/>
      <c r="B69"/>
      <c r="C69"/>
      <c r="D69"/>
      <c r="E69"/>
      <c r="F69"/>
    </row>
    <row r="70" spans="1:6" ht="28.9" customHeight="1">
      <c r="A70"/>
      <c r="B70"/>
      <c r="C70"/>
      <c r="D70"/>
      <c r="E70"/>
      <c r="F70"/>
    </row>
  </sheetData>
  <sheetProtection algorithmName="SHA-512" hashValue="CmUMQ1tjp5g0if4oigw/8v8+R6STIVVzyX1dhOxwdyjmjRLd/aNawWuWzWBO3YNeL+SWsjzbqYJfZB4DhGBXBA==" saltValue="b2jVZPrGg5Jkn2XIt72zRA==" spinCount="100000" sheet="1" formatCells="0" formatColumns="0" formatRows="0" insertRows="0" deleteRows="0"/>
  <mergeCells count="9">
    <mergeCell ref="B16:E16"/>
    <mergeCell ref="C15:E15"/>
    <mergeCell ref="B10:E10"/>
    <mergeCell ref="C3:E3"/>
    <mergeCell ref="C4:E4"/>
    <mergeCell ref="C5:E5"/>
    <mergeCell ref="C6:E6"/>
    <mergeCell ref="C13:E13"/>
    <mergeCell ref="C14:E14"/>
  </mergeCells>
  <pageMargins left="0.25" right="0.25" top="0.75" bottom="0.75" header="0.3" footer="0.3"/>
  <pageSetup paperSize="9" orientation="portrait" r:id="rId1"/>
  <headerFooter>
    <oddHeader>&amp;C&amp;K00B050Vulnerability Assessment Tool, Food Fraud Advisors 2018</oddHeader>
    <oddFooter>&amp;CInsert your company's standard document control features here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DD35396F-A045-461A-92DB-9C8E0A6B4830}">
            <xm:f>'Scope worksheet'!$D$4&lt;&gt;"initial screening"</xm:f>
            <x14:dxf>
              <font>
                <color theme="0"/>
              </font>
              <fill>
                <patternFill patternType="none">
                  <bgColor auto="1"/>
                </patternFill>
              </fill>
              <border>
                <left/>
                <right/>
                <top/>
                <bottom/>
                <vertical/>
                <horizontal/>
              </border>
            </x14:dxf>
          </x14:cfRule>
          <xm:sqref>A71:F71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S1004"/>
  <sheetViews>
    <sheetView showGridLines="0" showRowColHeaders="0" showRuler="0" view="pageLayout" zoomScaleNormal="100" workbookViewId="0">
      <selection activeCell="F8" sqref="F8:K8"/>
    </sheetView>
  </sheetViews>
  <sheetFormatPr defaultColWidth="17.28515625" defaultRowHeight="15" customHeight="1"/>
  <cols>
    <col min="1" max="1" width="3.42578125" style="1" customWidth="1"/>
    <col min="2" max="2" width="18.28515625" style="1" customWidth="1"/>
    <col min="3" max="8" width="6.42578125" style="1" customWidth="1"/>
    <col min="9" max="15" width="8.7109375" style="1" customWidth="1"/>
    <col min="16" max="16384" width="17.28515625" style="1"/>
  </cols>
  <sheetData>
    <row r="1" spans="1:11" ht="18.75" customHeight="1">
      <c r="B1" s="2" t="s">
        <v>1</v>
      </c>
    </row>
    <row r="2" spans="1:11" ht="9" customHeight="1">
      <c r="B2" s="3"/>
    </row>
    <row r="3" spans="1:11" ht="19.5" customHeight="1">
      <c r="B3" s="40" t="str">
        <f>IF('Scope worksheet'!D6="Insert name of material or material group here","Enter material name on scope worksheet",'Scope worksheet'!D6)</f>
        <v>Enter material name on scope worksheet</v>
      </c>
      <c r="C3" s="24"/>
      <c r="D3" s="24"/>
      <c r="E3" s="24"/>
      <c r="F3" s="10"/>
      <c r="G3" s="9"/>
      <c r="H3" s="9"/>
      <c r="I3" s="9"/>
      <c r="J3" s="9"/>
      <c r="K3" s="9"/>
    </row>
    <row r="4" spans="1:11" ht="4.5" customHeight="1">
      <c r="B4" s="4"/>
      <c r="D4" s="4"/>
      <c r="E4" s="4"/>
    </row>
    <row r="5" spans="1:11" ht="4.5" customHeight="1">
      <c r="B5" s="5"/>
      <c r="C5" s="5"/>
      <c r="D5" s="5"/>
      <c r="E5" s="5"/>
      <c r="F5" s="5"/>
    </row>
    <row r="6" spans="1:11" ht="21.75" customHeight="1">
      <c r="B6" s="6" t="s">
        <v>144</v>
      </c>
      <c r="C6" s="5"/>
      <c r="D6" s="5"/>
      <c r="E6" s="5"/>
      <c r="F6" s="5"/>
    </row>
    <row r="7" spans="1:11" ht="10.5" customHeight="1" thickBot="1">
      <c r="D7" s="4"/>
      <c r="E7" s="4"/>
    </row>
    <row r="8" spans="1:11" ht="30" customHeight="1" thickBot="1">
      <c r="B8" s="401" t="s">
        <v>139</v>
      </c>
      <c r="C8" s="402"/>
      <c r="D8" s="402"/>
      <c r="E8" s="402"/>
      <c r="F8" s="403" t="str">
        <f>B3</f>
        <v>Enter material name on scope worksheet</v>
      </c>
      <c r="G8" s="403"/>
      <c r="H8" s="403"/>
      <c r="I8" s="403"/>
      <c r="J8" s="403"/>
      <c r="K8" s="404"/>
    </row>
    <row r="9" spans="1:11" ht="61.15" customHeight="1">
      <c r="A9" s="7"/>
      <c r="B9" s="397" t="s">
        <v>145</v>
      </c>
      <c r="C9" s="398"/>
      <c r="D9" s="398"/>
      <c r="E9" s="398"/>
      <c r="F9" s="405" t="str">
        <f>IF('risk matrix viewer'!$I24=0,"This is calculated from the data added to the occurrence worksheet",'Occurrence worksheet'!H27)</f>
        <v>Very likely/certain to be affected</v>
      </c>
      <c r="G9" s="405"/>
      <c r="H9" s="405"/>
      <c r="I9" s="405"/>
      <c r="J9" s="405"/>
      <c r="K9" s="406"/>
    </row>
    <row r="10" spans="1:11" ht="63" customHeight="1">
      <c r="B10" s="399" t="s">
        <v>146</v>
      </c>
      <c r="C10" s="400"/>
      <c r="D10" s="400"/>
      <c r="E10" s="400"/>
      <c r="F10" s="407" t="str">
        <f>IF('risk matrix viewer'!$H28=0,"This is calculated from the data added to the detection worksheet",'Detection worksheet'!G24)</f>
        <v>Very unlikely to be detected</v>
      </c>
      <c r="G10" s="407"/>
      <c r="H10" s="407"/>
      <c r="I10" s="407"/>
      <c r="J10" s="407"/>
      <c r="K10" s="408"/>
    </row>
    <row r="11" spans="1:11" ht="34.5" customHeight="1" thickBot="1">
      <c r="B11" s="391" t="s">
        <v>147</v>
      </c>
      <c r="C11" s="392"/>
      <c r="D11" s="392"/>
      <c r="E11" s="392"/>
      <c r="F11" s="393" t="str">
        <f>'calc sheet'!H38</f>
        <v>High risk</v>
      </c>
      <c r="G11" s="393"/>
      <c r="H11" s="393"/>
      <c r="I11" s="393"/>
      <c r="J11" s="393"/>
      <c r="K11" s="394"/>
    </row>
    <row r="12" spans="1:11" ht="7.5" customHeight="1">
      <c r="B12" s="8"/>
    </row>
    <row r="13" spans="1:11" s="7" customFormat="1" ht="25.9" customHeight="1">
      <c r="B13" s="86" t="s">
        <v>148</v>
      </c>
    </row>
    <row r="14" spans="1:11" ht="25.5" customHeight="1"/>
    <row r="15" spans="1:11" ht="82.5" customHeight="1">
      <c r="D15" s="25" t="s">
        <v>149</v>
      </c>
      <c r="E15" s="25" t="s">
        <v>150</v>
      </c>
      <c r="F15" s="25" t="s">
        <v>151</v>
      </c>
      <c r="G15" s="25" t="s">
        <v>152</v>
      </c>
      <c r="H15" s="26" t="s">
        <v>153</v>
      </c>
    </row>
    <row r="16" spans="1:11" ht="33.75" customHeight="1">
      <c r="B16" s="395" t="s">
        <v>154</v>
      </c>
      <c r="C16" s="396"/>
      <c r="D16" s="27" t="str">
        <f>IF(AND('calc sheet'!$H$25=1,'calc sheet'!$H$29=1),"X","")</f>
        <v/>
      </c>
      <c r="E16" s="27" t="str">
        <f>IF(AND('calc sheet'!$H$25=2,'calc sheet'!$H$29=1),"X","")</f>
        <v/>
      </c>
      <c r="F16" s="27" t="str">
        <f>IF(AND('calc sheet'!$H$25=3,'calc sheet'!$H$29=1),"X","")</f>
        <v/>
      </c>
      <c r="G16" s="28" t="str">
        <f>IF(AND('calc sheet'!$H$25=4,'calc sheet'!$H$29=1),"X","")</f>
        <v/>
      </c>
      <c r="H16" s="29" t="str">
        <f>IF(AND('calc sheet'!$H$25=5,'calc sheet'!$H$29=1),"X","")</f>
        <v/>
      </c>
    </row>
    <row r="17" spans="2:19" ht="34.5" customHeight="1">
      <c r="B17" s="395" t="s">
        <v>152</v>
      </c>
      <c r="C17" s="396"/>
      <c r="D17" s="27" t="str">
        <f>IF(AND('calc sheet'!$H$25=1,'calc sheet'!$H$29=2),"X","")</f>
        <v/>
      </c>
      <c r="E17" s="27" t="str">
        <f>IF(AND('calc sheet'!$H$25=2,'calc sheet'!$H$29=2),"X","")</f>
        <v/>
      </c>
      <c r="F17" s="28" t="str">
        <f>IF(AND('calc sheet'!$H$25=3,'calc sheet'!$H$29=2),"X","")</f>
        <v/>
      </c>
      <c r="G17" s="29" t="str">
        <f>IF(AND('calc sheet'!$H$25=4,'calc sheet'!$H$29=2),"X","")</f>
        <v/>
      </c>
      <c r="H17" s="30" t="str">
        <f>IF(AND('calc sheet'!$H$25=5,'calc sheet'!$H$29=2),"X","")</f>
        <v/>
      </c>
    </row>
    <row r="18" spans="2:19" ht="33.75" customHeight="1">
      <c r="B18" s="395" t="s">
        <v>151</v>
      </c>
      <c r="C18" s="396"/>
      <c r="D18" s="27" t="str">
        <f>IF(AND('calc sheet'!$H$25=1,'calc sheet'!$H$29=3),"X","")</f>
        <v/>
      </c>
      <c r="E18" s="28" t="str">
        <f>IF(AND('calc sheet'!$H$25=2,'calc sheet'!$H$29=3),"X","")</f>
        <v/>
      </c>
      <c r="F18" s="28" t="str">
        <f>IF(AND('calc sheet'!$H$25=3,'calc sheet'!$H$29=3),"X","")</f>
        <v/>
      </c>
      <c r="G18" s="30" t="str">
        <f>IF(AND('calc sheet'!$H$25=4,'calc sheet'!$H$29=3),"X","")</f>
        <v/>
      </c>
      <c r="H18" s="30" t="str">
        <f>IF(AND('calc sheet'!$H$25=5,'calc sheet'!$H$29=3),"X","")</f>
        <v/>
      </c>
    </row>
    <row r="19" spans="2:19" ht="33.75" customHeight="1">
      <c r="B19" s="395" t="s">
        <v>155</v>
      </c>
      <c r="C19" s="396"/>
      <c r="D19" s="28" t="str">
        <f>IF(AND('calc sheet'!$H$25=1,'calc sheet'!$H$29=4),"X","")</f>
        <v/>
      </c>
      <c r="E19" s="28" t="str">
        <f>IF(AND('calc sheet'!$H$25=2,'calc sheet'!$H$29=4),"X","")</f>
        <v/>
      </c>
      <c r="F19" s="31" t="str">
        <f>IF(AND('calc sheet'!$H$25=3,'calc sheet'!$H$29=4),"X","")</f>
        <v/>
      </c>
      <c r="G19" s="30" t="str">
        <f>IF(AND('calc sheet'!$H$25=4,'calc sheet'!$H$29=4),"X","")</f>
        <v/>
      </c>
      <c r="H19" s="30" t="str">
        <f>IF(AND('calc sheet'!$H$25=5,'calc sheet'!$H$29=4),"X","")</f>
        <v/>
      </c>
    </row>
    <row r="20" spans="2:19" ht="33.75" customHeight="1">
      <c r="B20" s="395" t="s">
        <v>149</v>
      </c>
      <c r="C20" s="396"/>
      <c r="D20" s="28" t="str">
        <f>IF(AND('calc sheet'!$H$25=1,'calc sheet'!$H$29=5),"X","")</f>
        <v/>
      </c>
      <c r="E20" s="31" t="str">
        <f>IF(AND('calc sheet'!$H$25=2,'calc sheet'!$H$29=5),"X","")</f>
        <v/>
      </c>
      <c r="F20" s="31" t="str">
        <f>IF(AND('calc sheet'!$H$25=3,'calc sheet'!$H$29=5),"X","")</f>
        <v/>
      </c>
      <c r="G20" s="30" t="str">
        <f>IF(AND('calc sheet'!$H$25=4,'calc sheet'!$H$29=5),"X","")</f>
        <v/>
      </c>
      <c r="H20" s="30" t="str">
        <f>IF(AND('calc sheet'!$H$25=5,'calc sheet'!$H$29=5),"X","")</f>
        <v>X</v>
      </c>
      <c r="J20" s="12"/>
    </row>
    <row r="21" spans="2:19" ht="28.5" customHeight="1"/>
    <row r="22" spans="2:19" ht="11.25" customHeight="1">
      <c r="B22" s="48" t="s">
        <v>156</v>
      </c>
      <c r="C22" s="41"/>
      <c r="D22" s="41"/>
      <c r="E22" s="41"/>
      <c r="F22" s="41"/>
      <c r="G22" s="41"/>
      <c r="H22" s="41"/>
      <c r="I22" s="41"/>
      <c r="J22" s="41"/>
      <c r="K22" s="42"/>
    </row>
    <row r="23" spans="2:19" ht="11.25" customHeight="1">
      <c r="B23" s="43" t="s">
        <v>157</v>
      </c>
      <c r="C23" s="44"/>
      <c r="D23" s="44"/>
      <c r="E23" s="44"/>
      <c r="F23" s="44"/>
      <c r="G23" s="44"/>
      <c r="H23" s="44"/>
      <c r="I23" s="44"/>
      <c r="J23" s="44"/>
      <c r="K23" s="45"/>
    </row>
    <row r="24" spans="2:19" ht="11.25" customHeight="1">
      <c r="B24" s="43" t="s">
        <v>158</v>
      </c>
      <c r="C24" s="44"/>
      <c r="D24" s="44"/>
      <c r="E24" s="44"/>
      <c r="F24" s="44"/>
      <c r="G24" s="44"/>
      <c r="H24" s="44"/>
      <c r="I24" s="44"/>
      <c r="J24" s="44"/>
      <c r="K24" s="45"/>
    </row>
    <row r="25" spans="2:19" ht="11.25" customHeight="1">
      <c r="B25" s="49" t="s">
        <v>159</v>
      </c>
      <c r="C25" s="46"/>
      <c r="D25" s="46"/>
      <c r="E25" s="46"/>
      <c r="F25" s="46"/>
      <c r="G25" s="46"/>
      <c r="H25" s="46"/>
      <c r="I25" s="46"/>
      <c r="J25" s="46"/>
      <c r="K25" s="47"/>
    </row>
    <row r="26" spans="2:19" ht="23.45" customHeight="1"/>
    <row r="27" spans="2:19" ht="23.45" customHeight="1">
      <c r="B27" s="21" t="s">
        <v>160</v>
      </c>
    </row>
    <row r="28" spans="2:19" ht="10.9" customHeight="1">
      <c r="B28" s="12"/>
    </row>
    <row r="29" spans="2:19" ht="36.6" customHeight="1">
      <c r="B29" s="388" t="s">
        <v>161</v>
      </c>
      <c r="C29" s="389"/>
      <c r="D29" s="389"/>
      <c r="E29" s="389"/>
      <c r="F29" s="389"/>
      <c r="G29" s="389"/>
      <c r="H29" s="389"/>
      <c r="I29" s="389"/>
      <c r="J29" s="389"/>
      <c r="K29" s="390"/>
    </row>
    <row r="30" spans="2:19" ht="36" customHeight="1">
      <c r="B30" s="113" t="s">
        <v>28</v>
      </c>
      <c r="C30" s="376" t="str">
        <f>'Occurrence worksheet'!I10</f>
        <v/>
      </c>
      <c r="D30" s="377"/>
      <c r="E30" s="377"/>
      <c r="F30" s="377"/>
      <c r="G30" s="377"/>
      <c r="H30" s="377"/>
      <c r="I30" s="377"/>
      <c r="J30" s="377"/>
      <c r="K30" s="378"/>
      <c r="S30"/>
    </row>
    <row r="31" spans="2:19" ht="36" customHeight="1">
      <c r="B31" s="114"/>
      <c r="C31" s="379">
        <f>'Occurrence worksheet'!J10</f>
        <v>0</v>
      </c>
      <c r="D31" s="380"/>
      <c r="E31" s="380"/>
      <c r="F31" s="380"/>
      <c r="G31" s="380"/>
      <c r="H31" s="380"/>
      <c r="I31" s="380"/>
      <c r="J31" s="380"/>
      <c r="K31" s="381"/>
      <c r="M31" s="12"/>
      <c r="S31"/>
    </row>
    <row r="32" spans="2:19" ht="28.5" customHeight="1">
      <c r="B32" s="113" t="s">
        <v>33</v>
      </c>
      <c r="C32" s="376" t="str">
        <f>'Occurrence worksheet'!I11</f>
        <v/>
      </c>
      <c r="D32" s="377"/>
      <c r="E32" s="377"/>
      <c r="F32" s="377"/>
      <c r="G32" s="377"/>
      <c r="H32" s="377"/>
      <c r="I32" s="377"/>
      <c r="J32" s="377"/>
      <c r="K32" s="378"/>
      <c r="S32"/>
    </row>
    <row r="33" spans="2:19" ht="30.75" customHeight="1">
      <c r="B33" s="114"/>
      <c r="C33" s="379">
        <f>'Occurrence worksheet'!J11</f>
        <v>0</v>
      </c>
      <c r="D33" s="380"/>
      <c r="E33" s="380"/>
      <c r="F33" s="380"/>
      <c r="G33" s="380"/>
      <c r="H33" s="380"/>
      <c r="I33" s="380"/>
      <c r="J33" s="380"/>
      <c r="K33" s="381"/>
      <c r="S33"/>
    </row>
    <row r="34" spans="2:19" ht="24.75" customHeight="1">
      <c r="B34" s="113" t="s">
        <v>37</v>
      </c>
      <c r="C34" s="376" t="str">
        <f>'Occurrence worksheet'!I12</f>
        <v/>
      </c>
      <c r="D34" s="377"/>
      <c r="E34" s="377"/>
      <c r="F34" s="377"/>
      <c r="G34" s="377"/>
      <c r="H34" s="377"/>
      <c r="I34" s="377"/>
      <c r="J34" s="377"/>
      <c r="K34" s="378"/>
      <c r="S34"/>
    </row>
    <row r="35" spans="2:19" ht="24.75" customHeight="1">
      <c r="B35" s="115"/>
      <c r="C35" s="379">
        <f>'Occurrence worksheet'!J12</f>
        <v>0</v>
      </c>
      <c r="D35" s="380"/>
      <c r="E35" s="380"/>
      <c r="F35" s="380"/>
      <c r="G35" s="380"/>
      <c r="H35" s="380"/>
      <c r="I35" s="380"/>
      <c r="J35" s="380"/>
      <c r="K35" s="381"/>
      <c r="S35"/>
    </row>
    <row r="36" spans="2:19" ht="24.75" customHeight="1">
      <c r="B36" s="113" t="s">
        <v>42</v>
      </c>
      <c r="C36" s="376" t="str">
        <f>'Occurrence worksheet'!I13</f>
        <v/>
      </c>
      <c r="D36" s="377"/>
      <c r="E36" s="377"/>
      <c r="F36" s="377"/>
      <c r="G36" s="377"/>
      <c r="H36" s="377"/>
      <c r="I36" s="377"/>
      <c r="J36" s="377"/>
      <c r="K36" s="378"/>
      <c r="S36"/>
    </row>
    <row r="37" spans="2:19" ht="24.75" customHeight="1">
      <c r="B37" s="115"/>
      <c r="C37" s="379">
        <f>'Occurrence worksheet'!J13</f>
        <v>0</v>
      </c>
      <c r="D37" s="380"/>
      <c r="E37" s="380"/>
      <c r="F37" s="380"/>
      <c r="G37" s="380"/>
      <c r="H37" s="380"/>
      <c r="I37" s="380"/>
      <c r="J37" s="380"/>
      <c r="K37" s="381"/>
      <c r="S37"/>
    </row>
    <row r="38" spans="2:19" ht="24.75" customHeight="1">
      <c r="B38" s="113" t="s">
        <v>46</v>
      </c>
      <c r="C38" s="376" t="str">
        <f>'Occurrence worksheet'!I14</f>
        <v/>
      </c>
      <c r="D38" s="377"/>
      <c r="E38" s="377"/>
      <c r="F38" s="377"/>
      <c r="G38" s="377"/>
      <c r="H38" s="377"/>
      <c r="I38" s="377"/>
      <c r="J38" s="377"/>
      <c r="K38" s="378"/>
      <c r="S38"/>
    </row>
    <row r="39" spans="2:19" ht="24.75" customHeight="1">
      <c r="B39" s="114"/>
      <c r="C39" s="379">
        <f>'Occurrence worksheet'!J15</f>
        <v>0</v>
      </c>
      <c r="D39" s="380"/>
      <c r="E39" s="380"/>
      <c r="F39" s="380"/>
      <c r="G39" s="380"/>
      <c r="H39" s="380"/>
      <c r="I39" s="380"/>
      <c r="J39" s="380"/>
      <c r="K39" s="381"/>
      <c r="S39"/>
    </row>
    <row r="40" spans="2:19" ht="24.75" customHeight="1">
      <c r="B40" s="113" t="s">
        <v>49</v>
      </c>
      <c r="C40" s="376" t="str">
        <f>'Occurrence worksheet'!I15</f>
        <v/>
      </c>
      <c r="D40" s="377"/>
      <c r="E40" s="377"/>
      <c r="F40" s="377"/>
      <c r="G40" s="377"/>
      <c r="H40" s="377"/>
      <c r="I40" s="377"/>
      <c r="J40" s="377"/>
      <c r="K40" s="378"/>
      <c r="S40"/>
    </row>
    <row r="41" spans="2:19" ht="24.75" customHeight="1">
      <c r="B41" s="115"/>
      <c r="C41" s="379">
        <f>'Occurrence worksheet'!J15</f>
        <v>0</v>
      </c>
      <c r="D41" s="380"/>
      <c r="E41" s="380"/>
      <c r="F41" s="380"/>
      <c r="G41" s="380"/>
      <c r="H41" s="380"/>
      <c r="I41" s="380"/>
      <c r="J41" s="380"/>
      <c r="K41" s="381"/>
      <c r="M41" s="12"/>
      <c r="S41"/>
    </row>
    <row r="42" spans="2:19" ht="24.75" customHeight="1">
      <c r="B42" s="113" t="s">
        <v>52</v>
      </c>
      <c r="C42" s="376" t="str">
        <f>'Occurrence worksheet'!I16</f>
        <v/>
      </c>
      <c r="D42" s="377"/>
      <c r="E42" s="377"/>
      <c r="F42" s="377"/>
      <c r="G42" s="377"/>
      <c r="H42" s="377"/>
      <c r="I42" s="377"/>
      <c r="J42" s="377"/>
      <c r="K42" s="378"/>
      <c r="S42"/>
    </row>
    <row r="43" spans="2:19" ht="24.75" customHeight="1">
      <c r="B43" s="115"/>
      <c r="C43" s="379">
        <f>'Occurrence worksheet'!J16</f>
        <v>0</v>
      </c>
      <c r="D43" s="380"/>
      <c r="E43" s="380"/>
      <c r="F43" s="380"/>
      <c r="G43" s="380"/>
      <c r="H43" s="380"/>
      <c r="I43" s="380"/>
      <c r="J43" s="380"/>
      <c r="K43" s="381"/>
      <c r="S43"/>
    </row>
    <row r="44" spans="2:19" ht="24.75" customHeight="1">
      <c r="B44" s="113" t="s">
        <v>55</v>
      </c>
      <c r="C44" s="376" t="str">
        <f>'Occurrence worksheet'!I17</f>
        <v/>
      </c>
      <c r="D44" s="377"/>
      <c r="E44" s="377"/>
      <c r="F44" s="377"/>
      <c r="G44" s="377"/>
      <c r="H44" s="377"/>
      <c r="I44" s="377"/>
      <c r="J44" s="377"/>
      <c r="K44" s="378"/>
      <c r="S44"/>
    </row>
    <row r="45" spans="2:19" ht="24.75" customHeight="1">
      <c r="B45" s="114"/>
      <c r="C45" s="379">
        <f>'Occurrence worksheet'!J17</f>
        <v>0</v>
      </c>
      <c r="D45" s="380"/>
      <c r="E45" s="380"/>
      <c r="F45" s="380"/>
      <c r="G45" s="380"/>
      <c r="H45" s="380"/>
      <c r="I45" s="380"/>
      <c r="J45" s="380"/>
      <c r="K45" s="381"/>
    </row>
    <row r="46" spans="2:19" ht="24.75" customHeight="1">
      <c r="B46" s="113" t="s">
        <v>58</v>
      </c>
      <c r="C46" s="376" t="str">
        <f>'Occurrence worksheet'!I18</f>
        <v/>
      </c>
      <c r="D46" s="377"/>
      <c r="E46" s="377"/>
      <c r="F46" s="377"/>
      <c r="G46" s="377"/>
      <c r="H46" s="377"/>
      <c r="I46" s="377"/>
      <c r="J46" s="377"/>
      <c r="K46" s="378"/>
    </row>
    <row r="47" spans="2:19" ht="24.75" customHeight="1">
      <c r="B47" s="114"/>
      <c r="C47" s="379">
        <f>'Occurrence worksheet'!J18</f>
        <v>0</v>
      </c>
      <c r="D47" s="380"/>
      <c r="E47" s="380"/>
      <c r="F47" s="380"/>
      <c r="G47" s="380"/>
      <c r="H47" s="380"/>
      <c r="I47" s="380"/>
      <c r="J47" s="380"/>
      <c r="K47" s="381"/>
    </row>
    <row r="48" spans="2:19" ht="24.75" customHeight="1">
      <c r="B48" s="113" t="s">
        <v>62</v>
      </c>
      <c r="C48" s="376" t="str">
        <f>'Occurrence worksheet'!I19</f>
        <v/>
      </c>
      <c r="D48" s="377"/>
      <c r="E48" s="377"/>
      <c r="F48" s="377"/>
      <c r="G48" s="377"/>
      <c r="H48" s="377"/>
      <c r="I48" s="377"/>
      <c r="J48" s="377"/>
      <c r="K48" s="378"/>
    </row>
    <row r="49" spans="2:11" ht="24.75" customHeight="1">
      <c r="B49" s="114"/>
      <c r="C49" s="379">
        <f>'Occurrence worksheet'!J19</f>
        <v>0</v>
      </c>
      <c r="D49" s="380"/>
      <c r="E49" s="380"/>
      <c r="F49" s="380"/>
      <c r="G49" s="380"/>
      <c r="H49" s="380"/>
      <c r="I49" s="380"/>
      <c r="J49" s="380"/>
      <c r="K49" s="381"/>
    </row>
    <row r="50" spans="2:11" ht="24.75" customHeight="1">
      <c r="B50" s="113" t="s">
        <v>66</v>
      </c>
      <c r="C50" s="376" t="str">
        <f>'Occurrence worksheet'!I20</f>
        <v/>
      </c>
      <c r="D50" s="377"/>
      <c r="E50" s="377"/>
      <c r="F50" s="377"/>
      <c r="G50" s="377"/>
      <c r="H50" s="377"/>
      <c r="I50" s="377"/>
      <c r="J50" s="377"/>
      <c r="K50" s="378"/>
    </row>
    <row r="51" spans="2:11" ht="24.75" customHeight="1">
      <c r="B51" s="114"/>
      <c r="C51" s="379">
        <f>'Occurrence worksheet'!J20</f>
        <v>0</v>
      </c>
      <c r="D51" s="380"/>
      <c r="E51" s="380"/>
      <c r="F51" s="380"/>
      <c r="G51" s="380"/>
      <c r="H51" s="380"/>
      <c r="I51" s="380"/>
      <c r="J51" s="380"/>
      <c r="K51" s="381"/>
    </row>
    <row r="52" spans="2:11" ht="43.15" customHeight="1">
      <c r="B52" s="113" t="s">
        <v>70</v>
      </c>
      <c r="C52" s="376" t="str">
        <f>'Occurrence worksheet'!I21</f>
        <v/>
      </c>
      <c r="D52" s="377"/>
      <c r="E52" s="377"/>
      <c r="F52" s="377"/>
      <c r="G52" s="377"/>
      <c r="H52" s="377"/>
      <c r="I52" s="377"/>
      <c r="J52" s="377"/>
      <c r="K52" s="378"/>
    </row>
    <row r="53" spans="2:11" ht="24.75" customHeight="1">
      <c r="B53" s="115"/>
      <c r="C53" s="379">
        <f>'Occurrence worksheet'!J21</f>
        <v>0</v>
      </c>
      <c r="D53" s="380"/>
      <c r="E53" s="380"/>
      <c r="F53" s="380"/>
      <c r="G53" s="380"/>
      <c r="H53" s="380"/>
      <c r="I53" s="380"/>
      <c r="J53" s="380"/>
      <c r="K53" s="381"/>
    </row>
    <row r="54" spans="2:11" ht="24.75" customHeight="1">
      <c r="B54" s="32" t="s">
        <v>73</v>
      </c>
      <c r="C54" s="377" t="str">
        <f>'Occurrence worksheet'!I22</f>
        <v/>
      </c>
      <c r="D54" s="377"/>
      <c r="E54" s="377"/>
      <c r="F54" s="377"/>
      <c r="G54" s="377"/>
      <c r="H54" s="377"/>
      <c r="I54" s="377"/>
      <c r="J54" s="377"/>
      <c r="K54" s="378"/>
    </row>
    <row r="55" spans="2:11" ht="31.5" customHeight="1">
      <c r="B55" s="266"/>
      <c r="C55" s="380">
        <f>'Occurrence worksheet'!J22</f>
        <v>0</v>
      </c>
      <c r="D55" s="380"/>
      <c r="E55" s="380"/>
      <c r="F55" s="380"/>
      <c r="G55" s="380"/>
      <c r="H55" s="380"/>
      <c r="I55" s="380"/>
      <c r="J55" s="380"/>
      <c r="K55" s="381"/>
    </row>
    <row r="56" spans="2:11" ht="30.75" customHeight="1">
      <c r="B56" s="32" t="str">
        <f>IF('Scope worksheet'!C36="product","Form of product","Form of ingredient")</f>
        <v>Form of ingredient</v>
      </c>
      <c r="C56" s="376" t="str">
        <f>'Occurrence worksheet'!I23</f>
        <v/>
      </c>
      <c r="D56" s="377"/>
      <c r="E56" s="377"/>
      <c r="F56" s="377"/>
      <c r="G56" s="377"/>
      <c r="H56" s="377"/>
      <c r="I56" s="377"/>
      <c r="J56" s="377"/>
      <c r="K56" s="378"/>
    </row>
    <row r="57" spans="2:11" ht="30.75" customHeight="1">
      <c r="B57" s="267"/>
      <c r="C57" s="379">
        <f>'Occurrence worksheet'!J23</f>
        <v>0</v>
      </c>
      <c r="D57" s="380"/>
      <c r="E57" s="380"/>
      <c r="F57" s="380"/>
      <c r="G57" s="380"/>
      <c r="H57" s="380"/>
      <c r="I57" s="380"/>
      <c r="J57" s="380"/>
      <c r="K57" s="381"/>
    </row>
    <row r="58" spans="2:11" ht="30.75" customHeight="1">
      <c r="B58" s="115" t="s">
        <v>80</v>
      </c>
      <c r="C58" s="376" t="str">
        <f>'Occurrence worksheet'!I24</f>
        <v/>
      </c>
      <c r="D58" s="377"/>
      <c r="E58" s="377"/>
      <c r="F58" s="377"/>
      <c r="G58" s="377"/>
      <c r="H58" s="377"/>
      <c r="I58" s="377"/>
      <c r="J58" s="377"/>
      <c r="K58" s="378"/>
    </row>
    <row r="59" spans="2:11" ht="30.6" customHeight="1">
      <c r="B59" s="114"/>
      <c r="C59" s="379">
        <f>'Occurrence worksheet'!J24</f>
        <v>0</v>
      </c>
      <c r="D59" s="380"/>
      <c r="E59" s="380"/>
      <c r="F59" s="380"/>
      <c r="G59" s="380"/>
      <c r="H59" s="380"/>
      <c r="I59" s="380"/>
      <c r="J59" s="380"/>
      <c r="K59" s="381"/>
    </row>
    <row r="60" spans="2:11" ht="30.6" customHeight="1">
      <c r="B60" s="32" t="s">
        <v>162</v>
      </c>
      <c r="C60" s="376" t="str">
        <f>'Occurrence worksheet'!I26</f>
        <v>Very likely/certain to be affected</v>
      </c>
      <c r="D60" s="377"/>
      <c r="E60" s="377"/>
      <c r="F60" s="377"/>
      <c r="G60" s="377"/>
      <c r="H60" s="377"/>
      <c r="I60" s="377"/>
      <c r="J60" s="377"/>
      <c r="K60" s="378"/>
    </row>
    <row r="61" spans="2:11" ht="30.6" customHeight="1">
      <c r="B61" s="33"/>
      <c r="C61" s="379" t="str">
        <f>IF('Occurrence worksheet'!J26="Type your comments about food fraud affecting this material here","",'Occurrence worksheet'!J26)</f>
        <v/>
      </c>
      <c r="D61" s="380"/>
      <c r="E61" s="380"/>
      <c r="F61" s="380"/>
      <c r="G61" s="380"/>
      <c r="H61" s="380"/>
      <c r="I61" s="380"/>
      <c r="J61" s="380"/>
      <c r="K61" s="381"/>
    </row>
    <row r="62" spans="2:11" ht="12" customHeight="1">
      <c r="B62" s="60"/>
      <c r="C62" s="75"/>
      <c r="D62" s="75"/>
      <c r="E62" s="75"/>
      <c r="F62" s="75"/>
      <c r="G62" s="75"/>
      <c r="H62" s="75"/>
      <c r="I62" s="75"/>
      <c r="J62" s="75"/>
      <c r="K62" s="75"/>
    </row>
    <row r="63" spans="2:11" ht="12.6" customHeight="1"/>
    <row r="64" spans="2:11" ht="36.6" customHeight="1">
      <c r="B64" s="385" t="s">
        <v>163</v>
      </c>
      <c r="C64" s="386"/>
      <c r="D64" s="386"/>
      <c r="E64" s="386"/>
      <c r="F64" s="386"/>
      <c r="G64" s="386"/>
      <c r="H64" s="386"/>
      <c r="I64" s="386"/>
      <c r="J64" s="386"/>
      <c r="K64" s="387"/>
    </row>
    <row r="65" spans="2:13" ht="25.5" customHeight="1">
      <c r="B65" s="268" t="s">
        <v>97</v>
      </c>
      <c r="C65" s="376" t="str">
        <f>'Detection worksheet'!I10</f>
        <v/>
      </c>
      <c r="D65" s="377"/>
      <c r="E65" s="377"/>
      <c r="F65" s="377"/>
      <c r="G65" s="377"/>
      <c r="H65" s="377"/>
      <c r="I65" s="377"/>
      <c r="J65" s="377"/>
      <c r="K65" s="378"/>
      <c r="M65"/>
    </row>
    <row r="66" spans="2:13" ht="25.5" customHeight="1">
      <c r="B66" s="269"/>
      <c r="C66" s="382">
        <f>'Detection worksheet'!J10</f>
        <v>0</v>
      </c>
      <c r="D66" s="383"/>
      <c r="E66" s="383"/>
      <c r="F66" s="383"/>
      <c r="G66" s="383"/>
      <c r="H66" s="383"/>
      <c r="I66" s="383"/>
      <c r="J66" s="383"/>
      <c r="K66" s="384"/>
      <c r="M66"/>
    </row>
    <row r="67" spans="2:13" ht="25.5" customHeight="1">
      <c r="B67" s="268" t="s">
        <v>58</v>
      </c>
      <c r="C67" s="376" t="str">
        <f>'Detection worksheet'!I11</f>
        <v/>
      </c>
      <c r="D67" s="377"/>
      <c r="E67" s="377"/>
      <c r="F67" s="377"/>
      <c r="G67" s="377"/>
      <c r="H67" s="377"/>
      <c r="I67" s="377"/>
      <c r="J67" s="377"/>
      <c r="K67" s="378"/>
      <c r="M67"/>
    </row>
    <row r="68" spans="2:13" ht="25.5" customHeight="1">
      <c r="B68" s="269"/>
      <c r="C68" s="379">
        <f>'Detection worksheet'!J11</f>
        <v>0</v>
      </c>
      <c r="D68" s="380"/>
      <c r="E68" s="380"/>
      <c r="F68" s="380"/>
      <c r="G68" s="380"/>
      <c r="H68" s="380"/>
      <c r="I68" s="380"/>
      <c r="J68" s="380"/>
      <c r="K68" s="381"/>
      <c r="M68"/>
    </row>
    <row r="69" spans="2:13" ht="25.5" customHeight="1">
      <c r="B69" s="268" t="s">
        <v>62</v>
      </c>
      <c r="C69" s="376" t="str">
        <f>'Detection worksheet'!I12</f>
        <v/>
      </c>
      <c r="D69" s="377"/>
      <c r="E69" s="377"/>
      <c r="F69" s="377"/>
      <c r="G69" s="377"/>
      <c r="H69" s="377"/>
      <c r="I69" s="377"/>
      <c r="J69" s="377"/>
      <c r="K69" s="378"/>
      <c r="M69"/>
    </row>
    <row r="70" spans="2:13" ht="25.5" customHeight="1">
      <c r="B70" s="269"/>
      <c r="C70" s="379">
        <f>'Detection worksheet'!J12</f>
        <v>0</v>
      </c>
      <c r="D70" s="380"/>
      <c r="E70" s="380"/>
      <c r="F70" s="380"/>
      <c r="G70" s="380"/>
      <c r="H70" s="380"/>
      <c r="I70" s="380"/>
      <c r="J70" s="380"/>
      <c r="K70" s="381"/>
      <c r="M70"/>
    </row>
    <row r="71" spans="2:13" ht="25.5" customHeight="1">
      <c r="B71" s="268" t="s">
        <v>103</v>
      </c>
      <c r="C71" s="376" t="str">
        <f>'Detection worksheet'!I13</f>
        <v/>
      </c>
      <c r="D71" s="377"/>
      <c r="E71" s="377"/>
      <c r="F71" s="377"/>
      <c r="G71" s="377"/>
      <c r="H71" s="377"/>
      <c r="I71" s="377"/>
      <c r="J71" s="377"/>
      <c r="K71" s="378"/>
      <c r="M71"/>
    </row>
    <row r="72" spans="2:13" ht="25.5" customHeight="1">
      <c r="B72" s="269"/>
      <c r="C72" s="379">
        <f>'Detection worksheet'!J13</f>
        <v>0</v>
      </c>
      <c r="D72" s="380"/>
      <c r="E72" s="380"/>
      <c r="F72" s="380"/>
      <c r="G72" s="380"/>
      <c r="H72" s="380"/>
      <c r="I72" s="380"/>
      <c r="J72" s="380"/>
      <c r="K72" s="381"/>
      <c r="M72"/>
    </row>
    <row r="73" spans="2:13" ht="25.5" customHeight="1">
      <c r="B73" s="268" t="s">
        <v>106</v>
      </c>
      <c r="C73" s="376" t="str">
        <f>'Detection worksheet'!I14</f>
        <v/>
      </c>
      <c r="D73" s="377"/>
      <c r="E73" s="377"/>
      <c r="F73" s="377"/>
      <c r="G73" s="377"/>
      <c r="H73" s="377"/>
      <c r="I73" s="377"/>
      <c r="J73" s="377"/>
      <c r="K73" s="378"/>
      <c r="M73"/>
    </row>
    <row r="74" spans="2:13" ht="25.5" customHeight="1">
      <c r="B74" s="269"/>
      <c r="C74" s="382">
        <f>'Detection worksheet'!J14</f>
        <v>0</v>
      </c>
      <c r="D74" s="383"/>
      <c r="E74" s="383"/>
      <c r="F74" s="383"/>
      <c r="G74" s="383"/>
      <c r="H74" s="383"/>
      <c r="I74" s="383"/>
      <c r="J74" s="383"/>
      <c r="K74" s="384"/>
      <c r="M74"/>
    </row>
    <row r="75" spans="2:13" ht="25.5" customHeight="1">
      <c r="B75" s="268" t="s">
        <v>110</v>
      </c>
      <c r="C75" s="376" t="str">
        <f>'Detection worksheet'!I15</f>
        <v/>
      </c>
      <c r="D75" s="377"/>
      <c r="E75" s="377"/>
      <c r="F75" s="377"/>
      <c r="G75" s="377"/>
      <c r="H75" s="377"/>
      <c r="I75" s="377"/>
      <c r="J75" s="377"/>
      <c r="K75" s="378"/>
      <c r="M75"/>
    </row>
    <row r="76" spans="2:13" ht="25.5" customHeight="1">
      <c r="B76" s="269"/>
      <c r="C76" s="379">
        <f>'Detection worksheet'!J15</f>
        <v>0</v>
      </c>
      <c r="D76" s="380"/>
      <c r="E76" s="380"/>
      <c r="F76" s="380"/>
      <c r="G76" s="380"/>
      <c r="H76" s="380"/>
      <c r="I76" s="380"/>
      <c r="J76" s="380"/>
      <c r="K76" s="381"/>
      <c r="M76"/>
    </row>
    <row r="77" spans="2:13" ht="25.5" customHeight="1">
      <c r="B77" s="268" t="s">
        <v>113</v>
      </c>
      <c r="C77" s="376" t="str">
        <f>'Detection worksheet'!I16</f>
        <v/>
      </c>
      <c r="D77" s="377"/>
      <c r="E77" s="377"/>
      <c r="F77" s="377"/>
      <c r="G77" s="377"/>
      <c r="H77" s="377"/>
      <c r="I77" s="377"/>
      <c r="J77" s="377"/>
      <c r="K77" s="378"/>
      <c r="M77"/>
    </row>
    <row r="78" spans="2:13" ht="25.5" customHeight="1">
      <c r="B78" s="269"/>
      <c r="C78" s="379">
        <f>'Detection worksheet'!J16</f>
        <v>0</v>
      </c>
      <c r="D78" s="380"/>
      <c r="E78" s="380"/>
      <c r="F78" s="380"/>
      <c r="G78" s="380"/>
      <c r="H78" s="380"/>
      <c r="I78" s="380"/>
      <c r="J78" s="380"/>
      <c r="K78" s="381"/>
      <c r="M78"/>
    </row>
    <row r="79" spans="2:13" ht="25.5" customHeight="1">
      <c r="B79" s="268" t="s">
        <v>117</v>
      </c>
      <c r="C79" s="376" t="str">
        <f>'Detection worksheet'!I17</f>
        <v/>
      </c>
      <c r="D79" s="377"/>
      <c r="E79" s="377"/>
      <c r="F79" s="377"/>
      <c r="G79" s="377"/>
      <c r="H79" s="377"/>
      <c r="I79" s="377"/>
      <c r="J79" s="377"/>
      <c r="K79" s="378"/>
    </row>
    <row r="80" spans="2:13" ht="25.5" customHeight="1">
      <c r="B80" s="269"/>
      <c r="C80" s="382">
        <f>'Detection worksheet'!J17</f>
        <v>0</v>
      </c>
      <c r="D80" s="383"/>
      <c r="E80" s="383"/>
      <c r="F80" s="383"/>
      <c r="G80" s="383"/>
      <c r="H80" s="383"/>
      <c r="I80" s="383"/>
      <c r="J80" s="383"/>
      <c r="K80" s="384"/>
    </row>
    <row r="81" spans="2:11" ht="25.5" customHeight="1">
      <c r="B81" s="268" t="s">
        <v>121</v>
      </c>
      <c r="C81" s="376" t="str">
        <f>'Detection worksheet'!I18</f>
        <v/>
      </c>
      <c r="D81" s="377"/>
      <c r="E81" s="377"/>
      <c r="F81" s="377"/>
      <c r="G81" s="377"/>
      <c r="H81" s="377"/>
      <c r="I81" s="377"/>
      <c r="J81" s="377"/>
      <c r="K81" s="378"/>
    </row>
    <row r="82" spans="2:11" ht="25.5" customHeight="1">
      <c r="B82" s="269"/>
      <c r="C82" s="379">
        <f>'Detection worksheet'!J18</f>
        <v>0</v>
      </c>
      <c r="D82" s="380"/>
      <c r="E82" s="380"/>
      <c r="F82" s="380"/>
      <c r="G82" s="380"/>
      <c r="H82" s="380"/>
      <c r="I82" s="380"/>
      <c r="J82" s="380"/>
      <c r="K82" s="381"/>
    </row>
    <row r="83" spans="2:11" ht="25.5" customHeight="1">
      <c r="B83" s="268" t="s">
        <v>66</v>
      </c>
      <c r="C83" s="376" t="str">
        <f>'Detection worksheet'!I19</f>
        <v/>
      </c>
      <c r="D83" s="377"/>
      <c r="E83" s="377"/>
      <c r="F83" s="377"/>
      <c r="G83" s="377"/>
      <c r="H83" s="377"/>
      <c r="I83" s="377"/>
      <c r="J83" s="377"/>
      <c r="K83" s="378"/>
    </row>
    <row r="84" spans="2:11" ht="25.5" customHeight="1">
      <c r="B84" s="269"/>
      <c r="C84" s="379">
        <f>'Detection worksheet'!J19</f>
        <v>0</v>
      </c>
      <c r="D84" s="380"/>
      <c r="E84" s="380"/>
      <c r="F84" s="380"/>
      <c r="G84" s="380"/>
      <c r="H84" s="380"/>
      <c r="I84" s="380"/>
      <c r="J84" s="380"/>
      <c r="K84" s="381"/>
    </row>
    <row r="85" spans="2:11" ht="25.5" customHeight="1">
      <c r="B85" s="268" t="s">
        <v>126</v>
      </c>
      <c r="C85" s="376" t="str">
        <f>'Detection worksheet'!I20</f>
        <v/>
      </c>
      <c r="D85" s="377"/>
      <c r="E85" s="377"/>
      <c r="F85" s="377"/>
      <c r="G85" s="377"/>
      <c r="H85" s="377"/>
      <c r="I85" s="377"/>
      <c r="J85" s="377"/>
      <c r="K85" s="378"/>
    </row>
    <row r="86" spans="2:11" ht="25.5" customHeight="1">
      <c r="B86" s="269"/>
      <c r="C86" s="379">
        <f>'Detection worksheet'!J20</f>
        <v>0</v>
      </c>
      <c r="D86" s="380"/>
      <c r="E86" s="380"/>
      <c r="F86" s="380"/>
      <c r="G86" s="380"/>
      <c r="H86" s="380"/>
      <c r="I86" s="380"/>
      <c r="J86" s="380"/>
      <c r="K86" s="381"/>
    </row>
    <row r="87" spans="2:11" ht="25.5" customHeight="1">
      <c r="B87" s="268" t="s">
        <v>80</v>
      </c>
      <c r="C87" s="376" t="str">
        <f>'Detection worksheet'!I21</f>
        <v/>
      </c>
      <c r="D87" s="377"/>
      <c r="E87" s="377"/>
      <c r="F87" s="377"/>
      <c r="G87" s="377"/>
      <c r="H87" s="377"/>
      <c r="I87" s="377"/>
      <c r="J87" s="377"/>
      <c r="K87" s="378"/>
    </row>
    <row r="88" spans="2:11" ht="25.5" customHeight="1">
      <c r="B88" s="269"/>
      <c r="C88" s="379">
        <f>'Detection worksheet'!J21</f>
        <v>0</v>
      </c>
      <c r="D88" s="380"/>
      <c r="E88" s="380"/>
      <c r="F88" s="380"/>
      <c r="G88" s="380"/>
      <c r="H88" s="380"/>
      <c r="I88" s="380"/>
      <c r="J88" s="380"/>
      <c r="K88" s="381"/>
    </row>
    <row r="89" spans="2:11" ht="30.6" customHeight="1">
      <c r="B89" s="35" t="s">
        <v>164</v>
      </c>
      <c r="C89" s="371" t="str">
        <f>'Detection worksheet'!I23</f>
        <v>Very unlikely to be detected</v>
      </c>
      <c r="D89" s="371"/>
      <c r="E89" s="371"/>
      <c r="F89" s="371"/>
      <c r="G89" s="371"/>
      <c r="H89" s="371"/>
      <c r="I89" s="371"/>
      <c r="J89" s="371"/>
      <c r="K89" s="372"/>
    </row>
    <row r="90" spans="2:11" ht="30.6" customHeight="1">
      <c r="B90" s="36"/>
      <c r="C90" s="373" t="str">
        <f>IF('Detection worksheet'!J23="Type your comments about the likelihood that food fraud would be detected for this material here","",'Detection worksheet'!J23)</f>
        <v/>
      </c>
      <c r="D90" s="374"/>
      <c r="E90" s="374"/>
      <c r="F90" s="374"/>
      <c r="G90" s="374"/>
      <c r="H90" s="374"/>
      <c r="I90" s="374"/>
      <c r="J90" s="374"/>
      <c r="K90" s="375"/>
    </row>
    <row r="91" spans="2:11" ht="12.75" customHeight="1"/>
    <row r="92" spans="2:11" ht="12.75" customHeight="1"/>
    <row r="93" spans="2:11" ht="12.75" customHeight="1"/>
    <row r="94" spans="2:11" ht="12.75" customHeight="1"/>
    <row r="95" spans="2:11" ht="12.75" customHeight="1"/>
    <row r="96" spans="2:11"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8" customHeight="1"/>
    <row r="145" ht="12.75" customHeight="1"/>
    <row r="146" ht="27" customHeight="1"/>
    <row r="147" ht="50.2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3.15"/>
    <row r="250" ht="13.15"/>
    <row r="251" ht="13.15"/>
    <row r="252" ht="13.15"/>
    <row r="253" ht="13.15"/>
    <row r="254" ht="13.15"/>
    <row r="255" ht="13.15"/>
    <row r="256" ht="13.15"/>
    <row r="257" ht="13.15"/>
    <row r="258" ht="13.15"/>
    <row r="259" ht="13.15"/>
    <row r="260" ht="13.15"/>
    <row r="261" ht="13.15"/>
    <row r="262" ht="13.15"/>
    <row r="263" ht="13.15"/>
    <row r="264" ht="13.15"/>
    <row r="265" ht="13.15"/>
    <row r="266" ht="13.15"/>
    <row r="267" ht="13.15"/>
    <row r="268" ht="13.15"/>
    <row r="269" ht="13.15"/>
    <row r="270" ht="13.15"/>
    <row r="271" ht="13.15"/>
    <row r="272" ht="13.15"/>
    <row r="273" ht="13.15"/>
    <row r="274" ht="13.15"/>
    <row r="275" ht="13.15"/>
    <row r="276" ht="13.15"/>
    <row r="277" ht="13.15"/>
    <row r="278" ht="13.15"/>
    <row r="279" ht="13.15"/>
    <row r="280" ht="13.15"/>
    <row r="281" ht="13.15"/>
    <row r="282" ht="13.15"/>
    <row r="283" ht="13.15"/>
    <row r="284" ht="13.15"/>
    <row r="285" ht="13.15"/>
    <row r="286" ht="13.15"/>
    <row r="287" ht="13.15"/>
    <row r="288" ht="13.15"/>
    <row r="289" ht="13.15"/>
    <row r="290" ht="13.15"/>
    <row r="291" ht="13.15"/>
    <row r="292" ht="13.15"/>
    <row r="293" ht="13.15"/>
    <row r="294" ht="13.15"/>
    <row r="295" ht="13.15"/>
    <row r="296" ht="13.15"/>
    <row r="297" ht="13.15"/>
    <row r="298" ht="13.15"/>
    <row r="299" ht="13.15"/>
    <row r="300" ht="13.15"/>
    <row r="301" ht="13.15"/>
    <row r="302" ht="13.15"/>
    <row r="303" ht="13.15"/>
    <row r="304" ht="13.15"/>
    <row r="305" ht="13.15"/>
    <row r="306" ht="13.15"/>
    <row r="307" ht="13.15"/>
    <row r="308" ht="13.15"/>
    <row r="309" ht="13.15"/>
    <row r="310" ht="13.15"/>
    <row r="311" ht="13.15"/>
    <row r="312" ht="13.15"/>
    <row r="313" ht="13.15"/>
    <row r="314" ht="13.15"/>
    <row r="315" ht="13.15"/>
    <row r="316" ht="13.15"/>
    <row r="317" ht="13.15"/>
    <row r="318" ht="13.15"/>
    <row r="319" ht="13.15"/>
    <row r="320" ht="13.15"/>
    <row r="321" ht="13.15"/>
    <row r="322" ht="13.15"/>
    <row r="323" ht="13.15"/>
    <row r="324" ht="13.15"/>
    <row r="325" ht="13.15"/>
    <row r="326" ht="13.15"/>
    <row r="327" ht="13.15"/>
    <row r="328" ht="13.15"/>
    <row r="329" ht="13.15"/>
    <row r="330" ht="13.15"/>
    <row r="331" ht="13.15"/>
    <row r="332" ht="13.15"/>
    <row r="333" ht="13.15"/>
    <row r="334" ht="13.15"/>
    <row r="335" ht="13.15"/>
    <row r="336" ht="13.15"/>
    <row r="337" ht="13.15"/>
    <row r="338" ht="13.15"/>
    <row r="339" ht="13.15"/>
    <row r="340" ht="13.15"/>
    <row r="341" ht="13.15"/>
    <row r="342" ht="13.15"/>
    <row r="343" ht="13.15"/>
    <row r="344" ht="13.15"/>
    <row r="345" ht="13.15"/>
    <row r="346" ht="13.15"/>
    <row r="347" ht="13.15"/>
    <row r="348" ht="13.15"/>
    <row r="349" ht="13.15"/>
    <row r="350" ht="13.15"/>
    <row r="351" ht="13.15"/>
    <row r="352" ht="13.15"/>
    <row r="353" ht="13.15"/>
    <row r="354" ht="13.15"/>
    <row r="355" ht="13.15"/>
    <row r="356" ht="13.15"/>
    <row r="357" ht="13.15"/>
    <row r="358" ht="13.15"/>
    <row r="359" ht="13.15"/>
    <row r="360" ht="13.15"/>
    <row r="361" ht="13.15"/>
    <row r="362" ht="13.15"/>
    <row r="363" ht="13.15"/>
    <row r="364" ht="13.15"/>
    <row r="365" ht="13.15"/>
    <row r="366" ht="13.15"/>
    <row r="367" ht="13.15"/>
    <row r="368" ht="13.15"/>
    <row r="369" ht="13.15"/>
    <row r="370" ht="13.15"/>
    <row r="371" ht="13.15"/>
    <row r="372" ht="13.15"/>
    <row r="373" ht="13.15"/>
    <row r="374" ht="13.15"/>
    <row r="375" ht="13.15"/>
    <row r="376" ht="13.15"/>
    <row r="377" ht="13.15"/>
    <row r="378" ht="13.15"/>
    <row r="379" ht="13.15"/>
    <row r="380" ht="13.15"/>
    <row r="381" ht="13.15"/>
    <row r="382" ht="13.15"/>
    <row r="383" ht="13.15"/>
    <row r="384" ht="13.15"/>
    <row r="385" ht="13.15"/>
    <row r="386" ht="13.15"/>
    <row r="387" ht="13.15"/>
    <row r="388" ht="13.15"/>
    <row r="389" ht="13.15"/>
    <row r="390" ht="13.15"/>
    <row r="391" ht="13.15"/>
    <row r="392" ht="13.15"/>
    <row r="393" ht="13.15"/>
    <row r="394" ht="13.15"/>
    <row r="395" ht="13.15"/>
    <row r="396" ht="13.15"/>
    <row r="397" ht="13.15"/>
    <row r="398" ht="13.15"/>
    <row r="399" ht="13.15"/>
    <row r="400" ht="13.15"/>
    <row r="401" ht="13.15"/>
    <row r="402" ht="13.15"/>
    <row r="403" ht="13.15"/>
    <row r="404" ht="13.15"/>
    <row r="405" ht="13.15"/>
    <row r="406" ht="13.15"/>
    <row r="407" ht="13.15"/>
    <row r="408" ht="13.15"/>
    <row r="409" ht="13.15"/>
    <row r="410" ht="13.15"/>
    <row r="411" ht="13.15"/>
    <row r="412" ht="13.15"/>
    <row r="413" ht="13.15"/>
    <row r="414" ht="13.15"/>
    <row r="415" ht="13.15"/>
    <row r="416" ht="13.15"/>
    <row r="417" ht="13.15"/>
    <row r="418" ht="13.15"/>
    <row r="419" ht="13.15"/>
    <row r="420" ht="13.15"/>
    <row r="421" ht="13.15"/>
    <row r="422" ht="13.15"/>
    <row r="423" ht="13.15"/>
    <row r="424" ht="13.15"/>
    <row r="425" ht="13.15"/>
    <row r="426" ht="13.15"/>
    <row r="427" ht="13.15"/>
    <row r="428" ht="13.15"/>
    <row r="429" ht="13.15"/>
    <row r="430" ht="13.15"/>
    <row r="431" ht="13.15"/>
    <row r="432" ht="13.15"/>
    <row r="433" ht="13.15"/>
    <row r="434" ht="13.15"/>
    <row r="435" ht="13.15"/>
    <row r="436" ht="13.15"/>
    <row r="437" ht="13.15"/>
    <row r="438" ht="13.15"/>
    <row r="439" ht="13.15"/>
    <row r="440" ht="13.15"/>
    <row r="441" ht="13.15"/>
    <row r="442" ht="13.15"/>
    <row r="443" ht="13.15"/>
    <row r="444" ht="13.15"/>
    <row r="445" ht="13.15"/>
    <row r="446" ht="13.15"/>
    <row r="447" ht="13.15"/>
    <row r="448" ht="13.15"/>
    <row r="449" ht="13.15"/>
    <row r="450" ht="13.15"/>
    <row r="451" ht="13.15"/>
    <row r="452" ht="13.15"/>
    <row r="453" ht="13.15"/>
    <row r="454" ht="13.15"/>
    <row r="455" ht="13.15"/>
    <row r="456" ht="13.15"/>
    <row r="457" ht="13.15"/>
    <row r="458" ht="13.15"/>
    <row r="459" ht="13.15"/>
    <row r="460" ht="13.15"/>
    <row r="461" ht="13.15"/>
    <row r="462" ht="13.15"/>
    <row r="463" ht="13.15"/>
    <row r="464" ht="13.15"/>
    <row r="465" ht="13.15"/>
    <row r="466" ht="13.15"/>
    <row r="467" ht="13.15"/>
    <row r="468" ht="13.15"/>
    <row r="469" ht="13.15"/>
    <row r="470" ht="13.15"/>
    <row r="471" ht="13.15"/>
    <row r="472" ht="13.15"/>
    <row r="473" ht="13.15"/>
    <row r="474" ht="13.15"/>
    <row r="475" ht="13.15"/>
    <row r="476" ht="13.15"/>
    <row r="477" ht="13.15"/>
    <row r="478" ht="13.15"/>
    <row r="479" ht="13.15"/>
    <row r="480" ht="13.15"/>
    <row r="481" ht="13.15"/>
    <row r="482" ht="13.15"/>
    <row r="483" ht="13.15"/>
    <row r="484" ht="13.15"/>
    <row r="485" ht="13.15"/>
    <row r="486" ht="13.15"/>
    <row r="487" ht="13.15"/>
    <row r="488" ht="13.15"/>
    <row r="489" ht="13.15"/>
    <row r="490" ht="13.15"/>
    <row r="491" ht="13.15"/>
    <row r="492" ht="13.15"/>
    <row r="493" ht="13.15"/>
    <row r="494" ht="13.15"/>
    <row r="495" ht="13.15"/>
    <row r="496" ht="13.15"/>
    <row r="497" ht="13.15"/>
    <row r="498" ht="13.15"/>
    <row r="499" ht="13.15"/>
    <row r="500" ht="13.15"/>
    <row r="501" ht="13.15"/>
    <row r="502" ht="13.15"/>
    <row r="503" ht="13.15"/>
    <row r="504" ht="13.15"/>
    <row r="505" ht="13.15"/>
    <row r="506" ht="13.15"/>
    <row r="507" ht="13.15"/>
    <row r="508" ht="13.15"/>
    <row r="509" ht="13.15"/>
    <row r="510" ht="13.15"/>
    <row r="511" ht="13.15"/>
    <row r="512" ht="13.15"/>
    <row r="513" ht="13.15"/>
    <row r="514" ht="13.15"/>
    <row r="515" ht="13.15"/>
    <row r="516" ht="13.15"/>
    <row r="517" ht="13.15"/>
    <row r="518" ht="13.15"/>
    <row r="519" ht="13.15"/>
    <row r="520" ht="13.15"/>
    <row r="521" ht="13.15"/>
    <row r="522" ht="13.15"/>
    <row r="523" ht="13.15"/>
    <row r="524" ht="13.15"/>
    <row r="525" ht="13.15"/>
    <row r="526" ht="13.15"/>
    <row r="527" ht="13.15"/>
    <row r="528" ht="13.15"/>
    <row r="529" ht="13.15"/>
    <row r="530" ht="13.15"/>
    <row r="531" ht="13.15"/>
    <row r="532" ht="13.15"/>
    <row r="533" ht="13.15"/>
    <row r="534" ht="13.15"/>
    <row r="535" ht="13.15"/>
    <row r="536" ht="13.15"/>
    <row r="537" ht="13.15"/>
    <row r="538" ht="13.15"/>
    <row r="539" ht="13.15"/>
    <row r="540" ht="13.15"/>
    <row r="541" ht="13.15"/>
    <row r="542" ht="13.15"/>
    <row r="543" ht="13.15"/>
    <row r="544" ht="13.15"/>
    <row r="545" ht="13.15"/>
    <row r="546" ht="13.15"/>
    <row r="547" ht="13.15"/>
    <row r="548" ht="13.15"/>
    <row r="549" ht="13.15"/>
    <row r="550" ht="13.15"/>
    <row r="551" ht="13.15"/>
    <row r="552" ht="13.15"/>
    <row r="553" ht="13.15"/>
    <row r="554" ht="13.15"/>
    <row r="555" ht="13.15"/>
    <row r="556" ht="13.15"/>
    <row r="557" ht="13.15"/>
    <row r="558" ht="13.15"/>
    <row r="559" ht="13.15"/>
    <row r="560" ht="13.15"/>
    <row r="561" ht="13.15"/>
    <row r="562" ht="13.15"/>
    <row r="563" ht="13.15"/>
    <row r="564" ht="13.15"/>
    <row r="565" ht="13.15"/>
    <row r="566" ht="13.15"/>
    <row r="567" ht="13.15"/>
    <row r="568" ht="13.15"/>
    <row r="569" ht="13.15"/>
    <row r="570" ht="13.15"/>
    <row r="571" ht="13.15"/>
    <row r="572" ht="13.15"/>
    <row r="573" ht="13.15"/>
    <row r="574" ht="13.15"/>
    <row r="575" ht="13.15"/>
    <row r="576" ht="13.15"/>
    <row r="577" ht="13.15"/>
    <row r="578" ht="13.15"/>
    <row r="579" ht="13.15"/>
    <row r="580" ht="13.15"/>
    <row r="581" ht="13.15"/>
    <row r="582" ht="13.15"/>
    <row r="583" ht="13.15"/>
    <row r="584" ht="13.15"/>
    <row r="585" ht="13.15"/>
    <row r="586" ht="13.15"/>
    <row r="587" ht="13.15"/>
    <row r="588" ht="13.15"/>
    <row r="589" ht="13.15"/>
    <row r="590" ht="13.15"/>
    <row r="591" ht="13.15"/>
    <row r="592" ht="13.15"/>
    <row r="593" ht="13.15"/>
    <row r="594" ht="13.15"/>
    <row r="595" ht="13.15"/>
    <row r="596" ht="13.15"/>
    <row r="597" ht="13.15"/>
    <row r="598" ht="13.15"/>
    <row r="599" ht="13.15"/>
    <row r="600" ht="13.15"/>
    <row r="601" ht="13.15"/>
    <row r="602" ht="13.15"/>
    <row r="603" ht="13.15"/>
    <row r="604" ht="13.15"/>
    <row r="605" ht="13.15"/>
    <row r="606" ht="13.15"/>
    <row r="607" ht="13.15"/>
    <row r="608" ht="13.15"/>
    <row r="609" ht="13.15"/>
    <row r="610" ht="13.15"/>
    <row r="611" ht="13.15"/>
    <row r="612" ht="13.15"/>
    <row r="613" ht="13.15"/>
    <row r="614" ht="13.15"/>
    <row r="615" ht="13.15"/>
    <row r="616" ht="13.15"/>
    <row r="617" ht="13.15"/>
    <row r="618" ht="13.15"/>
    <row r="619" ht="13.15"/>
    <row r="620" ht="13.15"/>
    <row r="621" ht="13.15"/>
    <row r="622" ht="13.15"/>
    <row r="623" ht="13.15"/>
    <row r="624" ht="13.15"/>
    <row r="625" ht="13.15"/>
    <row r="626" ht="13.15"/>
    <row r="627" ht="13.15"/>
    <row r="628" ht="13.15"/>
    <row r="629" ht="13.15"/>
    <row r="630" ht="13.15"/>
    <row r="631" ht="13.15"/>
    <row r="632" ht="13.15"/>
    <row r="633" ht="13.15"/>
    <row r="634" ht="13.15"/>
    <row r="635" ht="13.15"/>
    <row r="636" ht="13.15"/>
    <row r="637" ht="13.15"/>
    <row r="638" ht="13.15"/>
    <row r="639" ht="13.15"/>
    <row r="640" ht="13.15"/>
    <row r="641" ht="13.15"/>
    <row r="642" ht="13.15"/>
    <row r="643" ht="13.15"/>
    <row r="644" ht="13.15"/>
    <row r="645" ht="13.15"/>
    <row r="646" ht="13.15"/>
    <row r="647" ht="13.15"/>
    <row r="648" ht="13.15"/>
    <row r="649" ht="13.15"/>
    <row r="650" ht="13.15"/>
    <row r="651" ht="13.15"/>
    <row r="652" ht="13.15"/>
    <row r="653" ht="13.15"/>
    <row r="654" ht="13.15"/>
    <row r="655" ht="13.15"/>
    <row r="656" ht="13.15"/>
    <row r="657" ht="13.15"/>
    <row r="658" ht="13.15"/>
    <row r="659" ht="13.15"/>
    <row r="660" ht="13.15"/>
    <row r="661" ht="13.15"/>
    <row r="662" ht="13.15"/>
    <row r="663" ht="13.15"/>
    <row r="664" ht="13.15"/>
    <row r="665" ht="13.15"/>
    <row r="666" ht="13.15"/>
    <row r="667" ht="13.15"/>
    <row r="668" ht="13.15"/>
    <row r="669" ht="13.15"/>
    <row r="670" ht="13.15"/>
    <row r="671" ht="13.15"/>
    <row r="672" ht="13.15"/>
    <row r="673" ht="13.15"/>
    <row r="674" ht="13.15"/>
    <row r="675" ht="13.15"/>
    <row r="676" ht="13.15"/>
    <row r="677" ht="13.15"/>
    <row r="678" ht="13.15"/>
    <row r="679" ht="13.15"/>
    <row r="680" ht="13.15"/>
    <row r="681" ht="13.15"/>
    <row r="682" ht="13.15"/>
    <row r="683" ht="13.15"/>
    <row r="684" ht="13.15"/>
    <row r="685" ht="13.15"/>
    <row r="686" ht="13.15"/>
    <row r="687" ht="13.15"/>
    <row r="688" ht="13.15"/>
    <row r="689" ht="13.15"/>
    <row r="690" ht="13.15"/>
    <row r="691" ht="13.15"/>
    <row r="692" ht="13.15"/>
    <row r="693" ht="13.15"/>
    <row r="694" ht="13.15"/>
    <row r="695" ht="13.15"/>
    <row r="696" ht="13.15"/>
    <row r="697" ht="13.15"/>
    <row r="698" ht="13.15"/>
    <row r="699" ht="13.15"/>
    <row r="700" ht="13.15"/>
    <row r="701" ht="13.15"/>
    <row r="702" ht="13.15"/>
    <row r="703" ht="13.15"/>
    <row r="704" ht="13.15"/>
    <row r="705" ht="13.15"/>
    <row r="706" ht="13.15"/>
    <row r="707" ht="13.15"/>
    <row r="708" ht="13.15"/>
    <row r="709" ht="13.15"/>
    <row r="710" ht="13.15"/>
    <row r="711" ht="13.15"/>
    <row r="712" ht="13.15"/>
    <row r="713" ht="13.15"/>
    <row r="714" ht="13.15"/>
    <row r="715" ht="13.15"/>
    <row r="716" ht="13.15"/>
    <row r="717" ht="13.15"/>
    <row r="718" ht="13.15"/>
    <row r="719" ht="13.15"/>
    <row r="720" ht="13.15"/>
    <row r="721" ht="13.15"/>
    <row r="722" ht="13.15"/>
    <row r="723" ht="13.15"/>
    <row r="724" ht="13.15"/>
    <row r="725" ht="13.15"/>
    <row r="726" ht="13.15"/>
    <row r="727" ht="13.15"/>
    <row r="728" ht="13.15"/>
    <row r="729" ht="13.15"/>
    <row r="730" ht="13.15"/>
    <row r="731" ht="13.15"/>
    <row r="732" ht="13.15"/>
    <row r="733" ht="13.15"/>
    <row r="734" ht="13.15"/>
    <row r="735" ht="13.15"/>
    <row r="736" ht="13.15"/>
    <row r="737" ht="13.15"/>
    <row r="738" ht="13.15"/>
    <row r="739" ht="13.15"/>
    <row r="740" ht="13.15"/>
    <row r="741" ht="13.15"/>
    <row r="742" ht="13.15"/>
    <row r="743" ht="13.15"/>
    <row r="744" ht="13.15"/>
    <row r="745" ht="13.15"/>
    <row r="746" ht="13.15"/>
    <row r="747" ht="13.15"/>
    <row r="748" ht="13.15"/>
    <row r="749" ht="13.15"/>
    <row r="750" ht="13.15"/>
    <row r="751" ht="13.15"/>
    <row r="752" ht="13.15"/>
    <row r="753" ht="13.15"/>
    <row r="754" ht="13.15"/>
    <row r="755" ht="13.15"/>
    <row r="756" ht="13.15"/>
    <row r="757" ht="13.15"/>
    <row r="758" ht="13.15"/>
    <row r="759" ht="13.15"/>
    <row r="760" ht="13.15"/>
    <row r="761" ht="13.15"/>
    <row r="762" ht="13.15"/>
    <row r="763" ht="13.15"/>
    <row r="764" ht="13.15"/>
    <row r="765" ht="13.15"/>
    <row r="766" ht="13.15"/>
    <row r="767" ht="13.15"/>
    <row r="768" ht="13.15"/>
    <row r="769" ht="13.15"/>
    <row r="770" ht="13.15"/>
    <row r="771" ht="13.15"/>
    <row r="772" ht="13.15"/>
    <row r="773" ht="13.15"/>
    <row r="774" ht="13.15"/>
    <row r="775" ht="13.15"/>
    <row r="776" ht="13.15"/>
    <row r="777" ht="13.15"/>
    <row r="778" ht="13.15"/>
    <row r="779" ht="13.15"/>
    <row r="780" ht="13.15"/>
    <row r="781" ht="13.15"/>
    <row r="782" ht="13.15"/>
    <row r="783" ht="13.15"/>
    <row r="784" ht="13.15"/>
    <row r="785" ht="13.15"/>
    <row r="786" ht="13.15"/>
    <row r="787" ht="13.15"/>
    <row r="788" ht="13.15"/>
    <row r="789" ht="13.15"/>
    <row r="790" ht="13.15"/>
    <row r="791" ht="13.15"/>
    <row r="792" ht="13.15"/>
    <row r="793" ht="13.15"/>
    <row r="794" ht="13.15"/>
    <row r="795" ht="13.15"/>
    <row r="796" ht="13.15"/>
    <row r="797" ht="13.15"/>
    <row r="798" ht="13.15"/>
    <row r="799" ht="13.15"/>
    <row r="800" ht="13.15"/>
    <row r="801" ht="13.15"/>
    <row r="802" ht="13.15"/>
    <row r="803" ht="13.15"/>
    <row r="804" ht="13.15"/>
    <row r="805" ht="13.15"/>
    <row r="806" ht="13.15"/>
    <row r="807" ht="13.15"/>
    <row r="808" ht="13.15"/>
    <row r="809" ht="13.15"/>
    <row r="810" ht="13.15"/>
    <row r="811" ht="13.15"/>
    <row r="812" ht="13.15"/>
    <row r="813" ht="13.15"/>
    <row r="814" ht="13.15"/>
    <row r="815" ht="13.15"/>
    <row r="816" ht="13.15"/>
    <row r="817" ht="13.15"/>
    <row r="818" ht="13.15"/>
    <row r="819" ht="13.15"/>
    <row r="820" ht="13.15"/>
    <row r="821" ht="13.15"/>
    <row r="822" ht="13.15"/>
    <row r="823" ht="13.15"/>
    <row r="824" ht="13.15"/>
    <row r="825" ht="13.15"/>
    <row r="826" ht="13.15"/>
    <row r="827" ht="13.15"/>
    <row r="828" ht="13.15"/>
    <row r="829" ht="13.15"/>
    <row r="830" ht="13.15"/>
    <row r="831" ht="13.15"/>
    <row r="832" ht="13.15"/>
    <row r="833" ht="13.15"/>
    <row r="834" ht="13.15"/>
    <row r="835" ht="13.15"/>
    <row r="836" ht="13.15"/>
    <row r="837" ht="13.15"/>
    <row r="838" ht="13.15"/>
    <row r="839" ht="13.15"/>
    <row r="840" ht="13.15"/>
    <row r="841" ht="13.15"/>
    <row r="842" ht="13.15"/>
    <row r="843" ht="13.15"/>
    <row r="844" ht="13.15"/>
    <row r="845" ht="13.15"/>
    <row r="846" ht="13.15"/>
    <row r="847" ht="13.15"/>
    <row r="848" ht="13.15"/>
    <row r="849" ht="13.15"/>
    <row r="850" ht="13.15"/>
    <row r="851" ht="13.15"/>
    <row r="852" ht="13.15"/>
    <row r="853" ht="13.15"/>
    <row r="854" ht="13.15"/>
    <row r="855" ht="13.15"/>
    <row r="856" ht="13.15"/>
    <row r="857" ht="13.15"/>
    <row r="858" ht="13.15"/>
    <row r="859" ht="13.15"/>
    <row r="860" ht="13.15"/>
    <row r="861" ht="13.15"/>
    <row r="862" ht="13.15"/>
    <row r="863" ht="13.15"/>
    <row r="864" ht="13.15"/>
    <row r="865" ht="13.15"/>
    <row r="866" ht="13.15"/>
    <row r="867" ht="13.15"/>
    <row r="868" ht="13.15"/>
    <row r="869" ht="13.15"/>
    <row r="870" ht="13.15"/>
    <row r="871" ht="13.15"/>
    <row r="872" ht="13.15"/>
    <row r="873" ht="13.15"/>
    <row r="874" ht="13.15"/>
    <row r="875" ht="13.15"/>
    <row r="876" ht="13.15"/>
    <row r="877" ht="13.15"/>
    <row r="878" ht="13.15"/>
    <row r="879" ht="13.15"/>
    <row r="880" ht="13.15"/>
    <row r="881" ht="13.15"/>
    <row r="882" ht="13.15"/>
    <row r="883" ht="13.15"/>
    <row r="884" ht="13.15"/>
    <row r="885" ht="13.15"/>
    <row r="886" ht="13.15"/>
    <row r="887" ht="13.15"/>
    <row r="888" ht="13.15"/>
    <row r="889" ht="13.15"/>
    <row r="890" ht="13.15"/>
    <row r="891" ht="13.15"/>
    <row r="892" ht="13.15"/>
    <row r="893" ht="13.15"/>
    <row r="894" ht="13.15"/>
    <row r="895" ht="13.15"/>
    <row r="896" ht="13.15"/>
    <row r="897" ht="13.15"/>
    <row r="898" ht="13.15"/>
    <row r="899" ht="13.15"/>
    <row r="900" ht="13.15"/>
    <row r="901" ht="13.15"/>
    <row r="902" ht="13.15"/>
    <row r="903" ht="13.15"/>
    <row r="904" ht="13.15"/>
    <row r="905" ht="13.15"/>
    <row r="906" ht="13.15"/>
    <row r="907" ht="13.15"/>
    <row r="908" ht="13.15"/>
    <row r="909" ht="13.15"/>
    <row r="910" ht="13.15"/>
    <row r="911" ht="13.15"/>
    <row r="912" ht="13.15"/>
    <row r="913" ht="13.15"/>
    <row r="914" ht="13.15"/>
    <row r="915" ht="13.15"/>
    <row r="916" ht="13.15"/>
    <row r="917" ht="13.15"/>
    <row r="918" ht="13.15"/>
    <row r="919" ht="13.15"/>
    <row r="920" ht="13.15"/>
    <row r="921" ht="13.15"/>
    <row r="922" ht="13.15"/>
    <row r="923" ht="13.15"/>
    <row r="924" ht="13.15"/>
    <row r="925" ht="13.15"/>
    <row r="926" ht="13.15"/>
    <row r="927" ht="13.15"/>
    <row r="928" ht="13.15"/>
    <row r="929" ht="13.15"/>
    <row r="930" ht="13.15"/>
    <row r="931" ht="13.15"/>
    <row r="932" ht="13.15"/>
    <row r="933" ht="13.15"/>
    <row r="934" ht="13.15"/>
    <row r="935" ht="13.15"/>
    <row r="936" ht="13.15"/>
    <row r="937" ht="13.15"/>
    <row r="938" ht="13.15"/>
    <row r="939" ht="13.15"/>
    <row r="940" ht="13.15"/>
    <row r="941" ht="13.15"/>
    <row r="942" ht="13.15"/>
    <row r="943" ht="13.15"/>
    <row r="944" ht="13.15"/>
    <row r="945" ht="13.15"/>
    <row r="946" ht="13.15"/>
    <row r="947" ht="13.15"/>
    <row r="948" ht="13.15"/>
    <row r="949" ht="13.15"/>
    <row r="950" ht="13.15"/>
    <row r="951" ht="13.15"/>
    <row r="952" ht="13.15"/>
    <row r="953" ht="13.15"/>
    <row r="954" ht="13.15"/>
    <row r="955" ht="13.15"/>
    <row r="956" ht="13.15"/>
    <row r="957" ht="13.15"/>
    <row r="958" ht="13.15"/>
    <row r="959" ht="13.15"/>
    <row r="960" ht="13.15"/>
    <row r="961" ht="13.15"/>
    <row r="962" ht="13.15"/>
    <row r="963" ht="13.15"/>
    <row r="964" ht="13.15"/>
    <row r="965" ht="13.15"/>
    <row r="966" ht="13.15"/>
    <row r="967" ht="13.15"/>
    <row r="968" ht="13.15"/>
    <row r="969" ht="13.15"/>
    <row r="970" ht="13.15"/>
    <row r="971" ht="13.15"/>
    <row r="972" ht="13.15"/>
    <row r="973" ht="13.15"/>
    <row r="974" ht="13.15"/>
    <row r="975" ht="13.15"/>
    <row r="976" ht="13.15"/>
    <row r="977" ht="13.15"/>
    <row r="978" ht="13.15"/>
    <row r="979" ht="13.15"/>
    <row r="980" ht="13.15"/>
    <row r="981" ht="13.15"/>
    <row r="982" ht="13.15"/>
    <row r="983" ht="13.15"/>
    <row r="984" ht="13.15"/>
    <row r="985" ht="13.15"/>
    <row r="986" ht="13.15"/>
    <row r="987" ht="13.15"/>
    <row r="988" ht="13.15"/>
    <row r="989" ht="13.15"/>
    <row r="990" ht="13.15"/>
    <row r="991" ht="13.15"/>
    <row r="992" ht="13.15"/>
    <row r="993" ht="13.15"/>
    <row r="994" ht="13.15"/>
    <row r="995" ht="13.15"/>
    <row r="996" ht="13.15"/>
    <row r="997" ht="13.15"/>
    <row r="998" ht="13.15"/>
    <row r="999" ht="13.15"/>
    <row r="1000" ht="13.15"/>
    <row r="1001" ht="13.15"/>
    <row r="1002" ht="13.15"/>
    <row r="1003" ht="13.15"/>
    <row r="1004" ht="13.15"/>
  </sheetData>
  <sheetProtection algorithmName="SHA-512" hashValue="pDyNnw5xNLLDCv1nBF9CGD+3UK0uwWTIwd39PNHlGiUhfDfhzDKhfWV/MEnjfc6rcy90Ei+HinS6MaAsHV7UcA==" saltValue="r9YyDcSB3c6FBjqWCglwfw==" spinCount="100000" sheet="1" formatCells="0" formatColumns="0" formatRows="0" insertRows="0" deleteRows="0"/>
  <mergeCells count="73">
    <mergeCell ref="C87:K87"/>
    <mergeCell ref="C88:K88"/>
    <mergeCell ref="C80:K80"/>
    <mergeCell ref="C82:K82"/>
    <mergeCell ref="C83:K83"/>
    <mergeCell ref="C84:K84"/>
    <mergeCell ref="C79:K79"/>
    <mergeCell ref="C72:K72"/>
    <mergeCell ref="C73:K73"/>
    <mergeCell ref="C85:K85"/>
    <mergeCell ref="C86:K86"/>
    <mergeCell ref="B9:E9"/>
    <mergeCell ref="B10:E10"/>
    <mergeCell ref="B8:E8"/>
    <mergeCell ref="F8:K8"/>
    <mergeCell ref="F9:K9"/>
    <mergeCell ref="F10:K10"/>
    <mergeCell ref="B11:E11"/>
    <mergeCell ref="F11:K11"/>
    <mergeCell ref="C34:K34"/>
    <mergeCell ref="C35:K35"/>
    <mergeCell ref="C36:K36"/>
    <mergeCell ref="B16:C16"/>
    <mergeCell ref="B17:C17"/>
    <mergeCell ref="B18:C18"/>
    <mergeCell ref="B19:C19"/>
    <mergeCell ref="B20:C20"/>
    <mergeCell ref="C37:K37"/>
    <mergeCell ref="B29:K29"/>
    <mergeCell ref="C30:K30"/>
    <mergeCell ref="C31:K31"/>
    <mergeCell ref="C32:K32"/>
    <mergeCell ref="C33:K33"/>
    <mergeCell ref="C38:K38"/>
    <mergeCell ref="C39:K39"/>
    <mergeCell ref="C40:K40"/>
    <mergeCell ref="C49:K49"/>
    <mergeCell ref="C50:K50"/>
    <mergeCell ref="C41:K41"/>
    <mergeCell ref="C42:K42"/>
    <mergeCell ref="C43:K43"/>
    <mergeCell ref="C44:K44"/>
    <mergeCell ref="C45:K45"/>
    <mergeCell ref="C46:K46"/>
    <mergeCell ref="C47:K47"/>
    <mergeCell ref="C48:K48"/>
    <mergeCell ref="B64:K64"/>
    <mergeCell ref="C65:K65"/>
    <mergeCell ref="C51:K51"/>
    <mergeCell ref="C52:K52"/>
    <mergeCell ref="C53:K53"/>
    <mergeCell ref="C57:K57"/>
    <mergeCell ref="C54:K54"/>
    <mergeCell ref="C55:K55"/>
    <mergeCell ref="C56:K56"/>
    <mergeCell ref="C60:K60"/>
    <mergeCell ref="C61:K61"/>
    <mergeCell ref="C89:K89"/>
    <mergeCell ref="C90:K90"/>
    <mergeCell ref="C58:K58"/>
    <mergeCell ref="C59:K59"/>
    <mergeCell ref="C66:K66"/>
    <mergeCell ref="C67:K67"/>
    <mergeCell ref="C68:K68"/>
    <mergeCell ref="C69:K69"/>
    <mergeCell ref="C70:K70"/>
    <mergeCell ref="C71:K71"/>
    <mergeCell ref="C81:K81"/>
    <mergeCell ref="C74:K74"/>
    <mergeCell ref="C75:K75"/>
    <mergeCell ref="C78:K78"/>
    <mergeCell ref="C76:K76"/>
    <mergeCell ref="C77:K77"/>
  </mergeCells>
  <conditionalFormatting sqref="G16">
    <cfRule type="cellIs" dxfId="29" priority="146" operator="equal">
      <formula>"X"</formula>
    </cfRule>
  </conditionalFormatting>
  <conditionalFormatting sqref="D18 D16:E17">
    <cfRule type="cellIs" dxfId="28" priority="149" operator="equal">
      <formula>"X"</formula>
    </cfRule>
  </conditionalFormatting>
  <conditionalFormatting sqref="D20 D19:E19 E18:F18 F17:G17">
    <cfRule type="cellIs" dxfId="27" priority="148" operator="equal">
      <formula>"X"</formula>
    </cfRule>
  </conditionalFormatting>
  <conditionalFormatting sqref="H17 G18:H18 F19:H19 E20:H20">
    <cfRule type="cellIs" dxfId="26" priority="147" operator="equal">
      <formula>"X"</formula>
    </cfRule>
  </conditionalFormatting>
  <conditionalFormatting sqref="C30:K59 C62:K90 C60:C61">
    <cfRule type="cellIs" dxfId="25" priority="40" operator="equal">
      <formula>0</formula>
    </cfRule>
  </conditionalFormatting>
  <conditionalFormatting sqref="B3">
    <cfRule type="cellIs" dxfId="24" priority="35" operator="equal">
      <formula>"Disregard this page if you are performing an intial screening"</formula>
    </cfRule>
  </conditionalFormatting>
  <conditionalFormatting sqref="F8:K8">
    <cfRule type="cellIs" dxfId="23" priority="34" operator="equal">
      <formula>"Check that you have chosen the correct option on the scope worksheet"</formula>
    </cfRule>
  </conditionalFormatting>
  <conditionalFormatting sqref="B16">
    <cfRule type="cellIs" dxfId="22" priority="31" operator="equal">
      <formula>"less severe impact"</formula>
    </cfRule>
  </conditionalFormatting>
  <conditionalFormatting sqref="B16">
    <cfRule type="cellIs" dxfId="21" priority="32" operator="equal">
      <formula>"potentially severe impact"</formula>
    </cfRule>
  </conditionalFormatting>
  <conditionalFormatting sqref="H16">
    <cfRule type="cellIs" dxfId="20" priority="30" operator="equal">
      <formula>"X"</formula>
    </cfRule>
  </conditionalFormatting>
  <conditionalFormatting sqref="F16">
    <cfRule type="cellIs" dxfId="19" priority="29" operator="equal">
      <formula>"X"</formula>
    </cfRule>
  </conditionalFormatting>
  <conditionalFormatting sqref="B54">
    <cfRule type="cellIs" dxfId="18" priority="26" operator="equal">
      <formula>"Warning! A serious error has occurred. Press 'undo' or revert to last saved copy to correct the error"</formula>
    </cfRule>
  </conditionalFormatting>
  <conditionalFormatting sqref="B54">
    <cfRule type="cellIs" dxfId="17" priority="25" operator="equal">
      <formula>"Avoid using 'cut' or 'drag and drop' functions"</formula>
    </cfRule>
  </conditionalFormatting>
  <pageMargins left="0.7" right="0.7" top="0.75" bottom="0.75" header="0.3" footer="0.3"/>
  <pageSetup orientation="portrait" r:id="rId1"/>
  <headerFooter>
    <oddHeader>&amp;C&amp;K00B050Vulnerability Assessment Tool, Food Fraud Advisors 2018</oddHeader>
    <oddFooter>&amp;CInsert your company's standard document control features here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97" id="{8314D3B2-3934-408A-B520-97AA0663E91D}">
            <xm:f>'calc sheet'!H38="high risk"</xm:f>
            <x14:dxf>
              <font>
                <b/>
                <i val="0"/>
              </font>
            </x14:dxf>
          </x14:cfRule>
          <xm:sqref>B23</xm:sqref>
        </x14:conditionalFormatting>
        <x14:conditionalFormatting xmlns:xm="http://schemas.microsoft.com/office/excel/2006/main">
          <x14:cfRule type="expression" priority="96" id="{06E602DA-2596-4A21-A845-05176DE4A673}">
            <xm:f>'calc sheet'!H38="medium risk"</xm:f>
            <x14:dxf>
              <font>
                <b/>
                <i val="0"/>
              </font>
            </x14:dxf>
          </x14:cfRule>
          <xm:sqref>B24</xm:sqref>
        </x14:conditionalFormatting>
        <x14:conditionalFormatting xmlns:xm="http://schemas.microsoft.com/office/excel/2006/main">
          <x14:cfRule type="expression" priority="95" id="{CFA61B4F-8256-4BE5-895F-BFA7715183CA}">
            <xm:f>'calc sheet'!H38="low risk"</xm:f>
            <x14:dxf>
              <font>
                <b/>
                <i val="0"/>
              </font>
            </x14:dxf>
          </x14:cfRule>
          <xm:sqref>B25</xm:sqref>
        </x14:conditionalFormatting>
        <x14:conditionalFormatting xmlns:xm="http://schemas.microsoft.com/office/excel/2006/main">
          <x14:cfRule type="expression" priority="33" id="{5F271C47-99D2-4680-9B37-996EF63467AC}">
            <xm:f>'Scope worksheet'!$D$4="initial screening"</xm:f>
            <x14:dxf>
              <font>
                <color theme="0"/>
              </font>
            </x14:dxf>
          </x14:cfRule>
          <xm:sqref>F9:K11</xm:sqref>
        </x14:conditionalFormatting>
        <x14:conditionalFormatting xmlns:xm="http://schemas.microsoft.com/office/excel/2006/main">
          <x14:cfRule type="expression" priority="153" id="{CFA61B4F-8256-4BE5-895F-BFA7715183CA}">
            <xm:f>'calc sheet'!H39="low risk"</xm:f>
            <x14:dxf>
              <font>
                <b/>
                <i val="0"/>
              </font>
            </x14:dxf>
          </x14:cfRule>
          <xm:sqref>B27:B28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P291"/>
  <sheetViews>
    <sheetView showGridLines="0" showRowColHeaders="0" zoomScale="107" zoomScaleNormal="107" workbookViewId="0"/>
  </sheetViews>
  <sheetFormatPr defaultColWidth="9.140625" defaultRowHeight="13.9"/>
  <cols>
    <col min="1" max="1" width="6.5703125" style="1" customWidth="1"/>
    <col min="2" max="2" width="12.5703125" style="1" customWidth="1"/>
    <col min="3" max="3" width="117" style="11" customWidth="1"/>
    <col min="4" max="4" width="1.85546875" style="11" customWidth="1"/>
    <col min="5" max="5" width="13.85546875" style="1" customWidth="1"/>
    <col min="6" max="16384" width="9.140625" style="1"/>
  </cols>
  <sheetData>
    <row r="1" spans="1:16" ht="8.25" customHeight="1">
      <c r="A1" s="22"/>
      <c r="B1" s="22"/>
      <c r="C1" s="23"/>
      <c r="D1" s="23"/>
      <c r="E1" s="22"/>
      <c r="F1" s="22"/>
      <c r="G1" s="22"/>
      <c r="H1" s="22"/>
      <c r="I1" s="22"/>
      <c r="J1" s="22"/>
      <c r="K1" s="22"/>
      <c r="L1" s="22"/>
      <c r="M1" s="22"/>
      <c r="N1" s="22"/>
      <c r="O1" s="22"/>
      <c r="P1" s="22"/>
    </row>
    <row r="2" spans="1:16" ht="36.6">
      <c r="A2" s="22"/>
      <c r="B2" s="166" t="s">
        <v>165</v>
      </c>
      <c r="C2" s="23"/>
      <c r="D2" s="23"/>
      <c r="E2" s="22"/>
      <c r="F2" s="22"/>
      <c r="G2" s="22"/>
      <c r="H2" s="22"/>
      <c r="I2" s="22"/>
      <c r="J2" s="22"/>
      <c r="K2" s="22"/>
      <c r="L2" s="22"/>
      <c r="M2" s="22"/>
      <c r="N2" s="22"/>
      <c r="O2" s="22"/>
      <c r="P2" s="22"/>
    </row>
    <row r="3" spans="1:16" ht="29.25" customHeight="1">
      <c r="A3" s="22"/>
      <c r="B3" s="167" t="s">
        <v>166</v>
      </c>
      <c r="C3" s="23"/>
      <c r="D3" s="23"/>
      <c r="E3" s="22"/>
      <c r="F3" s="22"/>
      <c r="G3" s="22"/>
      <c r="H3" s="22"/>
      <c r="I3" s="22"/>
      <c r="J3" s="22"/>
      <c r="K3" s="22"/>
      <c r="L3" s="22"/>
      <c r="M3" s="22"/>
      <c r="N3" s="22"/>
      <c r="O3" s="22"/>
      <c r="P3" s="22"/>
    </row>
    <row r="4" spans="1:16" ht="207.75" customHeight="1">
      <c r="A4" s="22"/>
      <c r="B4" s="22"/>
      <c r="C4" s="168"/>
      <c r="D4" s="168"/>
      <c r="E4" s="22"/>
      <c r="F4" s="22"/>
      <c r="G4" s="22"/>
      <c r="H4" s="22"/>
      <c r="I4" s="22"/>
      <c r="J4" s="22"/>
      <c r="K4" s="22"/>
      <c r="L4" s="22"/>
      <c r="M4" s="22"/>
      <c r="N4" s="22"/>
      <c r="O4" s="22"/>
      <c r="P4" s="22"/>
    </row>
    <row r="5" spans="1:16" ht="28.9">
      <c r="A5" s="22"/>
      <c r="B5" s="152" t="s">
        <v>167</v>
      </c>
      <c r="C5" s="153" t="s">
        <v>168</v>
      </c>
      <c r="D5" s="170"/>
      <c r="E5" s="22"/>
      <c r="F5" s="22"/>
      <c r="G5" s="22"/>
      <c r="H5" s="22"/>
      <c r="I5" s="22"/>
      <c r="J5" s="22"/>
      <c r="K5" s="22"/>
      <c r="L5" s="22"/>
      <c r="M5" s="22"/>
      <c r="N5" s="22"/>
      <c r="O5" s="22"/>
      <c r="P5" s="22"/>
    </row>
    <row r="6" spans="1:16" ht="18" customHeight="1">
      <c r="A6" s="22"/>
      <c r="B6" s="154"/>
      <c r="C6" s="155" t="s">
        <v>169</v>
      </c>
      <c r="D6" s="170"/>
      <c r="E6" s="22"/>
      <c r="F6" s="22"/>
      <c r="G6" s="22"/>
      <c r="H6" s="22"/>
      <c r="I6" s="22"/>
      <c r="J6" s="22"/>
      <c r="K6" s="22"/>
      <c r="L6" s="22"/>
      <c r="M6" s="22"/>
      <c r="N6" s="22"/>
      <c r="O6" s="22"/>
      <c r="P6" s="22"/>
    </row>
    <row r="7" spans="1:16" ht="9.75" customHeight="1" thickBot="1">
      <c r="A7" s="22"/>
      <c r="B7" s="172"/>
      <c r="C7" s="170"/>
      <c r="D7" s="170"/>
      <c r="E7" s="22"/>
      <c r="F7" s="22"/>
      <c r="G7" s="22"/>
      <c r="H7" s="22"/>
      <c r="I7" s="22"/>
      <c r="J7" s="22"/>
      <c r="K7" s="22"/>
      <c r="L7" s="22"/>
      <c r="M7" s="22"/>
      <c r="N7" s="22"/>
      <c r="O7" s="22"/>
      <c r="P7" s="22"/>
    </row>
    <row r="8" spans="1:16" ht="49.15" customHeight="1" thickBot="1">
      <c r="A8" s="22"/>
      <c r="B8" s="152" t="s">
        <v>170</v>
      </c>
      <c r="C8" s="153" t="s">
        <v>171</v>
      </c>
      <c r="D8" s="170"/>
      <c r="E8" s="50" t="s">
        <v>172</v>
      </c>
      <c r="F8" s="22"/>
      <c r="G8" s="22"/>
      <c r="H8" s="22"/>
      <c r="I8" s="22"/>
      <c r="J8" s="22"/>
      <c r="K8" s="22"/>
      <c r="L8" s="22"/>
      <c r="M8" s="22"/>
      <c r="N8" s="22"/>
      <c r="O8" s="22"/>
      <c r="P8" s="22"/>
    </row>
    <row r="9" spans="1:16" ht="22.9" customHeight="1">
      <c r="A9" s="22"/>
      <c r="B9" s="156"/>
      <c r="C9" s="155" t="s">
        <v>173</v>
      </c>
      <c r="D9" s="170"/>
      <c r="E9" s="171"/>
      <c r="F9" s="22"/>
      <c r="G9" s="22"/>
      <c r="H9" s="22"/>
      <c r="I9" s="22"/>
      <c r="J9" s="22"/>
      <c r="K9" s="22"/>
      <c r="L9" s="22"/>
      <c r="M9" s="22"/>
      <c r="N9" s="22"/>
      <c r="O9" s="22"/>
      <c r="P9" s="22"/>
    </row>
    <row r="10" spans="1:16" ht="16.899999999999999" customHeight="1" thickBot="1">
      <c r="A10" s="22"/>
      <c r="B10" s="173"/>
      <c r="C10" s="170"/>
      <c r="D10" s="170"/>
      <c r="E10" s="22"/>
      <c r="F10" s="22"/>
      <c r="G10" s="22"/>
      <c r="H10" s="22"/>
      <c r="I10" s="22"/>
      <c r="J10" s="22"/>
      <c r="K10" s="22"/>
      <c r="L10" s="22"/>
      <c r="M10" s="22"/>
      <c r="N10" s="22"/>
      <c r="O10" s="22"/>
      <c r="P10" s="22"/>
    </row>
    <row r="11" spans="1:16" ht="109.15" customHeight="1" thickBot="1">
      <c r="A11" s="22"/>
      <c r="B11" s="157" t="s">
        <v>174</v>
      </c>
      <c r="C11" s="158" t="s">
        <v>175</v>
      </c>
      <c r="D11" s="170"/>
      <c r="E11" s="50" t="s">
        <v>176</v>
      </c>
      <c r="F11" s="22"/>
      <c r="G11" s="22"/>
      <c r="H11" s="22"/>
      <c r="I11" s="22"/>
      <c r="J11" s="22"/>
      <c r="K11" s="22"/>
      <c r="L11" s="22"/>
      <c r="M11" s="22"/>
      <c r="N11" s="22"/>
      <c r="O11" s="22"/>
      <c r="P11" s="22"/>
    </row>
    <row r="12" spans="1:16" ht="9.75" customHeight="1" thickBot="1">
      <c r="A12" s="22"/>
      <c r="B12" s="172"/>
      <c r="C12" s="170"/>
      <c r="D12" s="170"/>
      <c r="E12" s="22"/>
      <c r="F12" s="22"/>
      <c r="G12" s="22"/>
      <c r="H12" s="22"/>
      <c r="I12" s="22"/>
      <c r="J12" s="22"/>
      <c r="K12" s="22"/>
      <c r="L12" s="22"/>
      <c r="M12" s="22"/>
      <c r="N12" s="22"/>
      <c r="O12" s="22"/>
      <c r="P12" s="22"/>
    </row>
    <row r="13" spans="1:16" ht="72.599999999999994" thickBot="1">
      <c r="A13" s="22"/>
      <c r="B13" s="152" t="s">
        <v>177</v>
      </c>
      <c r="C13" s="153" t="s">
        <v>178</v>
      </c>
      <c r="D13" s="170"/>
      <c r="E13" s="50" t="s">
        <v>179</v>
      </c>
      <c r="F13" s="22"/>
      <c r="G13" s="22"/>
      <c r="H13" s="22"/>
      <c r="I13" s="22"/>
      <c r="J13" s="22"/>
      <c r="K13" s="22"/>
      <c r="L13" s="22"/>
      <c r="M13" s="22"/>
      <c r="N13" s="22"/>
      <c r="O13" s="22"/>
      <c r="P13" s="22"/>
    </row>
    <row r="14" spans="1:16" ht="14.45">
      <c r="A14" s="22"/>
      <c r="B14" s="159"/>
      <c r="C14" s="160"/>
      <c r="D14" s="170"/>
      <c r="E14" s="171"/>
      <c r="F14" s="22"/>
      <c r="G14" s="22"/>
      <c r="H14" s="22"/>
      <c r="I14" s="22"/>
      <c r="J14" s="22"/>
      <c r="K14" s="22"/>
      <c r="L14" s="22"/>
      <c r="M14" s="22"/>
      <c r="N14" s="22"/>
      <c r="O14" s="22"/>
      <c r="P14" s="22"/>
    </row>
    <row r="15" spans="1:16" ht="19.899999999999999" customHeight="1">
      <c r="A15" s="22"/>
      <c r="B15" s="156"/>
      <c r="C15" s="161" t="s">
        <v>180</v>
      </c>
      <c r="D15" s="170"/>
      <c r="E15" s="22"/>
      <c r="F15" s="22"/>
      <c r="G15" s="22"/>
      <c r="H15" s="22"/>
      <c r="I15" s="22"/>
      <c r="J15" s="22"/>
      <c r="K15" s="22"/>
      <c r="L15" s="22"/>
      <c r="M15" s="22"/>
      <c r="N15" s="22"/>
      <c r="O15" s="22"/>
      <c r="P15" s="22"/>
    </row>
    <row r="16" spans="1:16" ht="12.75" customHeight="1" thickBot="1">
      <c r="A16" s="22"/>
      <c r="B16" s="173"/>
      <c r="C16" s="170"/>
      <c r="D16" s="170"/>
      <c r="E16" s="22"/>
      <c r="F16" s="22"/>
      <c r="G16" s="22"/>
      <c r="H16" s="22"/>
      <c r="I16" s="22"/>
      <c r="J16" s="22"/>
      <c r="K16" s="22"/>
      <c r="L16" s="22"/>
      <c r="M16" s="22"/>
      <c r="N16" s="22"/>
      <c r="O16" s="22"/>
      <c r="P16" s="22"/>
    </row>
    <row r="17" spans="1:16" ht="105.6" customHeight="1" thickBot="1">
      <c r="A17" s="22"/>
      <c r="B17" s="157" t="s">
        <v>181</v>
      </c>
      <c r="C17" s="158" t="s">
        <v>182</v>
      </c>
      <c r="D17" s="170"/>
      <c r="E17" s="50" t="s">
        <v>183</v>
      </c>
      <c r="F17" s="22"/>
      <c r="G17" s="22"/>
      <c r="H17" s="22"/>
      <c r="I17" s="22"/>
      <c r="J17" s="22"/>
      <c r="K17" s="22"/>
      <c r="L17" s="22"/>
      <c r="M17" s="22"/>
      <c r="N17" s="22"/>
      <c r="O17" s="22"/>
      <c r="P17" s="22"/>
    </row>
    <row r="18" spans="1:16" ht="15.6">
      <c r="A18" s="22"/>
      <c r="B18" s="173"/>
      <c r="C18" s="174"/>
      <c r="D18" s="170"/>
      <c r="E18" s="22"/>
      <c r="F18" s="22"/>
      <c r="G18" s="22"/>
      <c r="H18" s="22"/>
      <c r="I18" s="22"/>
      <c r="J18" s="22"/>
      <c r="K18" s="22"/>
      <c r="L18" s="22"/>
      <c r="M18" s="22"/>
      <c r="N18" s="22"/>
      <c r="O18" s="22"/>
      <c r="P18" s="22"/>
    </row>
    <row r="19" spans="1:16" ht="12.75" customHeight="1">
      <c r="A19" s="22"/>
      <c r="B19" s="172"/>
      <c r="C19" s="175"/>
      <c r="D19" s="170"/>
      <c r="E19" s="171"/>
      <c r="F19" s="22"/>
      <c r="G19" s="22"/>
      <c r="H19" s="22"/>
      <c r="I19" s="22"/>
      <c r="J19" s="22"/>
      <c r="K19" s="22"/>
      <c r="L19" s="22"/>
      <c r="M19" s="22"/>
      <c r="N19" s="22"/>
      <c r="O19" s="22"/>
      <c r="P19" s="22"/>
    </row>
    <row r="20" spans="1:16" ht="6" customHeight="1" thickBot="1">
      <c r="A20" s="22"/>
      <c r="B20" s="152"/>
      <c r="C20" s="153"/>
      <c r="D20" s="170"/>
      <c r="E20" s="22"/>
      <c r="F20" s="22"/>
      <c r="G20" s="22"/>
      <c r="H20" s="22"/>
      <c r="I20" s="22"/>
      <c r="J20" s="22"/>
      <c r="K20" s="22"/>
      <c r="L20" s="22"/>
      <c r="M20" s="22"/>
      <c r="N20" s="22"/>
      <c r="O20" s="22"/>
      <c r="P20" s="22"/>
    </row>
    <row r="21" spans="1:16" ht="25.5" customHeight="1" thickBot="1">
      <c r="A21" s="22"/>
      <c r="B21" s="162" t="s">
        <v>184</v>
      </c>
      <c r="C21" s="160" t="s">
        <v>185</v>
      </c>
      <c r="D21" s="170"/>
      <c r="E21" s="51" t="s">
        <v>186</v>
      </c>
      <c r="F21" s="22"/>
      <c r="G21" s="22"/>
      <c r="H21" s="22"/>
      <c r="I21" s="22"/>
      <c r="J21" s="22"/>
      <c r="K21" s="22"/>
      <c r="L21" s="22"/>
      <c r="M21" s="22"/>
      <c r="N21" s="22"/>
      <c r="O21" s="22"/>
      <c r="P21" s="22"/>
    </row>
    <row r="22" spans="1:16" ht="18.75" customHeight="1" thickBot="1">
      <c r="A22" s="22"/>
      <c r="B22" s="162"/>
      <c r="C22" s="228" t="s">
        <v>187</v>
      </c>
      <c r="D22" s="170"/>
      <c r="E22" s="171"/>
      <c r="F22" s="22"/>
      <c r="G22" s="22"/>
      <c r="H22" s="22"/>
      <c r="I22" s="22"/>
      <c r="J22" s="22"/>
      <c r="K22" s="22"/>
      <c r="L22" s="22"/>
      <c r="M22" s="22"/>
      <c r="N22" s="22"/>
      <c r="O22" s="22"/>
      <c r="P22" s="22"/>
    </row>
    <row r="23" spans="1:16" ht="33.6" customHeight="1" thickBot="1">
      <c r="A23" s="22"/>
      <c r="B23" s="159" t="s">
        <v>188</v>
      </c>
      <c r="C23" s="160" t="s">
        <v>189</v>
      </c>
      <c r="D23" s="170"/>
      <c r="E23" s="50" t="s">
        <v>190</v>
      </c>
      <c r="F23" s="22"/>
      <c r="G23" s="22"/>
      <c r="H23" s="22"/>
      <c r="I23" s="22"/>
      <c r="J23" s="22"/>
      <c r="K23" s="22"/>
      <c r="L23" s="22"/>
      <c r="M23" s="22"/>
      <c r="N23" s="22"/>
      <c r="O23" s="22"/>
      <c r="P23" s="22"/>
    </row>
    <row r="24" spans="1:16" ht="4.9000000000000004" customHeight="1">
      <c r="A24" s="22"/>
      <c r="B24" s="159"/>
      <c r="C24" s="160"/>
      <c r="D24" s="170"/>
      <c r="E24" s="22"/>
      <c r="F24" s="22"/>
      <c r="G24" s="22"/>
      <c r="H24" s="22"/>
      <c r="I24" s="22"/>
      <c r="J24" s="22"/>
      <c r="K24" s="22"/>
      <c r="L24" s="22"/>
      <c r="M24" s="22"/>
      <c r="N24" s="22"/>
      <c r="O24" s="22"/>
      <c r="P24" s="22"/>
    </row>
    <row r="25" spans="1:16" ht="14.45">
      <c r="A25" s="22"/>
      <c r="B25" s="162" t="s">
        <v>191</v>
      </c>
      <c r="C25" s="228" t="s">
        <v>192</v>
      </c>
      <c r="D25" s="170"/>
      <c r="E25" s="22"/>
      <c r="F25" s="22"/>
      <c r="G25" s="22"/>
      <c r="H25" s="22"/>
      <c r="I25" s="22"/>
      <c r="J25" s="22"/>
      <c r="K25" s="22"/>
      <c r="L25" s="22"/>
      <c r="M25" s="22"/>
      <c r="N25" s="22"/>
      <c r="O25" s="22"/>
      <c r="P25" s="22"/>
    </row>
    <row r="26" spans="1:16" ht="14.45">
      <c r="A26" s="22"/>
      <c r="B26" s="163"/>
      <c r="C26" s="160" t="s">
        <v>193</v>
      </c>
      <c r="D26" s="170"/>
      <c r="E26" s="171"/>
      <c r="F26" s="22"/>
      <c r="G26" s="22"/>
      <c r="H26" s="22"/>
      <c r="I26" s="22"/>
      <c r="J26" s="22"/>
      <c r="K26" s="22"/>
      <c r="L26" s="22"/>
      <c r="M26" s="22"/>
      <c r="N26" s="22"/>
      <c r="O26" s="22"/>
      <c r="P26" s="22"/>
    </row>
    <row r="27" spans="1:16">
      <c r="A27" s="22"/>
      <c r="B27" s="164"/>
      <c r="C27" s="165"/>
      <c r="D27" s="23"/>
      <c r="E27" s="22"/>
      <c r="F27" s="22"/>
      <c r="G27" s="22"/>
      <c r="H27" s="22"/>
      <c r="I27" s="22"/>
      <c r="J27" s="22"/>
      <c r="K27" s="22"/>
      <c r="L27" s="22"/>
      <c r="M27" s="22"/>
      <c r="N27" s="22"/>
      <c r="O27" s="22"/>
      <c r="P27" s="22"/>
    </row>
    <row r="28" spans="1:16">
      <c r="A28" s="22"/>
      <c r="B28" s="169"/>
      <c r="C28" s="23"/>
      <c r="D28" s="23"/>
      <c r="E28" s="22"/>
      <c r="F28" s="22"/>
      <c r="G28" s="22"/>
      <c r="H28" s="22"/>
      <c r="I28" s="22"/>
      <c r="J28" s="22"/>
      <c r="K28" s="22"/>
      <c r="L28" s="22"/>
      <c r="M28" s="22"/>
      <c r="N28" s="22"/>
      <c r="O28" s="22"/>
      <c r="P28" s="22"/>
    </row>
    <row r="29" spans="1:16">
      <c r="A29" s="22"/>
      <c r="B29" s="22"/>
      <c r="C29" s="23"/>
      <c r="D29" s="23"/>
      <c r="E29" s="22"/>
      <c r="F29" s="22"/>
      <c r="G29" s="22"/>
      <c r="H29" s="22"/>
      <c r="I29" s="22"/>
      <c r="J29" s="22"/>
      <c r="K29" s="22"/>
      <c r="L29" s="22"/>
      <c r="M29" s="22"/>
      <c r="N29" s="22"/>
      <c r="O29" s="22"/>
      <c r="P29" s="22"/>
    </row>
    <row r="30" spans="1:16">
      <c r="A30" s="22"/>
      <c r="B30" s="22"/>
      <c r="C30" s="23"/>
      <c r="D30" s="23"/>
      <c r="E30" s="22"/>
      <c r="F30" s="22"/>
      <c r="G30" s="22"/>
      <c r="H30" s="22"/>
      <c r="I30" s="22"/>
      <c r="J30" s="22"/>
      <c r="K30" s="22"/>
      <c r="L30" s="22"/>
      <c r="M30" s="22"/>
      <c r="N30" s="22"/>
      <c r="O30" s="22"/>
      <c r="P30" s="22"/>
    </row>
    <row r="31" spans="1:16">
      <c r="A31" s="22"/>
      <c r="B31" s="22"/>
      <c r="C31" s="23"/>
      <c r="D31" s="23"/>
      <c r="E31" s="22"/>
      <c r="F31" s="22"/>
      <c r="G31" s="22"/>
      <c r="H31" s="22"/>
      <c r="I31" s="22"/>
      <c r="J31" s="22"/>
      <c r="K31" s="22"/>
      <c r="L31" s="22"/>
      <c r="M31" s="22"/>
      <c r="N31" s="22"/>
      <c r="O31" s="22"/>
      <c r="P31" s="22"/>
    </row>
    <row r="32" spans="1:16">
      <c r="A32" s="22"/>
      <c r="B32" s="22"/>
      <c r="C32" s="23"/>
      <c r="D32" s="23"/>
      <c r="E32" s="22"/>
      <c r="F32" s="22"/>
      <c r="G32" s="22"/>
      <c r="H32" s="22"/>
      <c r="I32" s="22"/>
      <c r="J32" s="22"/>
      <c r="K32" s="22"/>
      <c r="L32" s="22"/>
      <c r="M32" s="22"/>
      <c r="N32" s="22"/>
      <c r="O32" s="22"/>
      <c r="P32" s="22"/>
    </row>
    <row r="33" spans="1:16">
      <c r="A33" s="22"/>
      <c r="B33" s="22"/>
      <c r="C33" s="23"/>
      <c r="D33" s="23"/>
      <c r="E33" s="22"/>
      <c r="F33" s="22"/>
      <c r="G33" s="22"/>
      <c r="H33" s="22"/>
      <c r="I33" s="22"/>
      <c r="J33" s="22"/>
      <c r="K33" s="22"/>
      <c r="L33" s="22"/>
      <c r="M33" s="22"/>
      <c r="N33" s="22"/>
      <c r="O33" s="22"/>
      <c r="P33" s="22"/>
    </row>
    <row r="34" spans="1:16">
      <c r="A34" s="22"/>
      <c r="B34" s="22"/>
      <c r="C34" s="23"/>
      <c r="D34" s="23"/>
      <c r="E34" s="22"/>
      <c r="F34" s="22"/>
      <c r="G34" s="22"/>
      <c r="H34" s="22"/>
      <c r="I34" s="22"/>
      <c r="J34" s="22"/>
      <c r="K34" s="22"/>
      <c r="L34" s="22"/>
      <c r="M34" s="22"/>
      <c r="N34" s="22"/>
      <c r="O34" s="22"/>
      <c r="P34" s="22"/>
    </row>
    <row r="35" spans="1:16">
      <c r="A35" s="22"/>
      <c r="B35" s="22"/>
      <c r="C35" s="23"/>
      <c r="D35" s="23"/>
      <c r="E35" s="22"/>
      <c r="F35" s="22"/>
      <c r="G35" s="22"/>
      <c r="H35" s="22"/>
      <c r="I35" s="22"/>
      <c r="J35" s="22"/>
      <c r="K35" s="22"/>
      <c r="L35" s="22"/>
      <c r="M35" s="22"/>
      <c r="N35" s="22"/>
      <c r="O35" s="22"/>
      <c r="P35" s="22"/>
    </row>
    <row r="36" spans="1:16">
      <c r="A36" s="22"/>
      <c r="B36" s="22"/>
      <c r="C36" s="23"/>
      <c r="D36" s="23"/>
      <c r="E36" s="22"/>
      <c r="F36" s="22"/>
      <c r="G36" s="22"/>
      <c r="H36" s="22"/>
      <c r="I36" s="22"/>
      <c r="J36" s="22"/>
      <c r="K36" s="22"/>
      <c r="L36" s="22"/>
      <c r="M36" s="22"/>
      <c r="N36" s="22"/>
      <c r="O36" s="22"/>
      <c r="P36" s="22"/>
    </row>
    <row r="37" spans="1:16">
      <c r="A37" s="22"/>
      <c r="B37" s="22"/>
      <c r="C37" s="23"/>
      <c r="D37" s="23"/>
      <c r="E37" s="22"/>
      <c r="F37" s="22"/>
      <c r="G37" s="22"/>
      <c r="H37" s="22"/>
      <c r="I37" s="22"/>
      <c r="J37" s="22"/>
      <c r="K37" s="22"/>
      <c r="L37" s="22"/>
      <c r="M37" s="22"/>
      <c r="N37" s="22"/>
      <c r="O37" s="22"/>
      <c r="P37" s="22"/>
    </row>
    <row r="38" spans="1:16">
      <c r="A38" s="22"/>
      <c r="B38" s="22"/>
      <c r="C38" s="23"/>
      <c r="D38" s="23"/>
      <c r="E38" s="22"/>
      <c r="F38" s="22"/>
      <c r="G38" s="22"/>
      <c r="H38" s="22"/>
      <c r="I38" s="22"/>
      <c r="J38" s="22"/>
      <c r="K38" s="22"/>
      <c r="L38" s="22"/>
      <c r="M38" s="22"/>
      <c r="N38" s="22"/>
      <c r="O38" s="22"/>
      <c r="P38" s="22"/>
    </row>
    <row r="87" spans="2:2">
      <c r="B87" s="12"/>
    </row>
    <row r="88" spans="2:2">
      <c r="B88" s="12"/>
    </row>
    <row r="89" spans="2:2">
      <c r="B89" s="12"/>
    </row>
    <row r="90" spans="2:2">
      <c r="B90" s="12"/>
    </row>
    <row r="91" spans="2:2">
      <c r="B91" s="12"/>
    </row>
    <row r="92" spans="2:2">
      <c r="B92" s="12"/>
    </row>
    <row r="93" spans="2:2">
      <c r="B93" s="12"/>
    </row>
    <row r="94" spans="2:2">
      <c r="B94" s="12"/>
    </row>
    <row r="95" spans="2:2">
      <c r="B95" s="12"/>
    </row>
    <row r="96" spans="2:2">
      <c r="B96" s="12"/>
    </row>
    <row r="97" spans="2:2">
      <c r="B97" s="12"/>
    </row>
    <row r="98" spans="2:2">
      <c r="B98" s="12"/>
    </row>
    <row r="99" spans="2:2">
      <c r="B99" s="12"/>
    </row>
    <row r="100" spans="2:2">
      <c r="B100" s="12"/>
    </row>
    <row r="101" spans="2:2">
      <c r="B101" s="12"/>
    </row>
    <row r="102" spans="2:2">
      <c r="B102" s="12"/>
    </row>
    <row r="103" spans="2:2">
      <c r="B103" s="12"/>
    </row>
    <row r="104" spans="2:2">
      <c r="B104" s="12"/>
    </row>
    <row r="105" spans="2:2">
      <c r="B105" s="12"/>
    </row>
    <row r="106" spans="2:2">
      <c r="B106" s="12"/>
    </row>
    <row r="107" spans="2:2">
      <c r="B107" s="12"/>
    </row>
    <row r="108" spans="2:2">
      <c r="B108" s="12"/>
    </row>
    <row r="109" spans="2:2">
      <c r="B109" s="12"/>
    </row>
    <row r="110" spans="2:2">
      <c r="B110" s="12"/>
    </row>
    <row r="111" spans="2:2">
      <c r="B111" s="12"/>
    </row>
    <row r="112" spans="2:2">
      <c r="B112" s="12"/>
    </row>
    <row r="113" spans="2:2">
      <c r="B113" s="12"/>
    </row>
    <row r="114" spans="2:2">
      <c r="B114" s="12"/>
    </row>
    <row r="115" spans="2:2">
      <c r="B115" s="12"/>
    </row>
    <row r="116" spans="2:2">
      <c r="B116" s="12"/>
    </row>
    <row r="117" spans="2:2">
      <c r="B117" s="12"/>
    </row>
    <row r="118" spans="2:2">
      <c r="B118" s="12"/>
    </row>
    <row r="119" spans="2:2">
      <c r="B119" s="12"/>
    </row>
    <row r="120" spans="2:2">
      <c r="B120" s="12"/>
    </row>
    <row r="121" spans="2:2">
      <c r="B121" s="12"/>
    </row>
    <row r="122" spans="2:2">
      <c r="B122" s="12"/>
    </row>
    <row r="123" spans="2:2">
      <c r="B123" s="12"/>
    </row>
    <row r="124" spans="2:2">
      <c r="B124" s="12"/>
    </row>
    <row r="125" spans="2:2">
      <c r="B125" s="12"/>
    </row>
    <row r="126" spans="2:2">
      <c r="B126" s="12"/>
    </row>
    <row r="127" spans="2:2">
      <c r="B127" s="12"/>
    </row>
    <row r="128" spans="2:2">
      <c r="B128" s="12"/>
    </row>
    <row r="129" spans="1:8">
      <c r="B129" s="12"/>
    </row>
    <row r="130" spans="1:8">
      <c r="B130" s="12"/>
    </row>
    <row r="131" spans="1:8">
      <c r="B131" s="12"/>
    </row>
    <row r="132" spans="1:8">
      <c r="B132" s="12"/>
    </row>
    <row r="133" spans="1:8">
      <c r="B133" s="12"/>
    </row>
    <row r="134" spans="1:8" ht="13.15">
      <c r="A134"/>
      <c r="B134"/>
      <c r="C134"/>
      <c r="D134"/>
      <c r="E134"/>
      <c r="F134"/>
      <c r="G134"/>
      <c r="H134"/>
    </row>
    <row r="135" spans="1:8" ht="13.15">
      <c r="A135"/>
      <c r="B135"/>
      <c r="C135"/>
      <c r="D135"/>
      <c r="E135"/>
      <c r="F135"/>
      <c r="G135"/>
      <c r="H135"/>
    </row>
    <row r="136" spans="1:8" ht="13.15">
      <c r="A136"/>
      <c r="B136"/>
      <c r="C136"/>
      <c r="D136"/>
      <c r="E136"/>
      <c r="F136"/>
      <c r="G136"/>
      <c r="H136"/>
    </row>
    <row r="137" spans="1:8" ht="13.15">
      <c r="A137"/>
      <c r="B137"/>
      <c r="C137"/>
      <c r="D137"/>
      <c r="E137"/>
      <c r="F137"/>
      <c r="G137"/>
      <c r="H137"/>
    </row>
    <row r="138" spans="1:8" ht="13.15">
      <c r="A138"/>
      <c r="B138"/>
      <c r="C138"/>
      <c r="D138"/>
      <c r="E138"/>
      <c r="F138"/>
      <c r="G138"/>
      <c r="H138"/>
    </row>
    <row r="139" spans="1:8" ht="13.15">
      <c r="A139"/>
      <c r="B139"/>
      <c r="C139"/>
      <c r="D139"/>
      <c r="E139"/>
      <c r="F139"/>
      <c r="G139"/>
      <c r="H139"/>
    </row>
    <row r="140" spans="1:8" ht="13.15">
      <c r="A140"/>
      <c r="B140"/>
      <c r="C140"/>
      <c r="D140"/>
      <c r="E140"/>
      <c r="F140"/>
      <c r="G140"/>
      <c r="H140"/>
    </row>
    <row r="141" spans="1:8" ht="13.15">
      <c r="A141"/>
      <c r="B141"/>
      <c r="C141"/>
      <c r="D141"/>
      <c r="E141"/>
      <c r="F141"/>
      <c r="G141"/>
      <c r="H141"/>
    </row>
    <row r="142" spans="1:8" ht="13.15">
      <c r="A142"/>
      <c r="B142"/>
      <c r="C142"/>
      <c r="D142"/>
      <c r="E142"/>
      <c r="F142"/>
      <c r="G142"/>
      <c r="H142"/>
    </row>
    <row r="143" spans="1:8" ht="13.15">
      <c r="A143"/>
      <c r="B143"/>
      <c r="C143"/>
      <c r="D143"/>
      <c r="E143"/>
      <c r="F143"/>
      <c r="G143"/>
      <c r="H143"/>
    </row>
    <row r="144" spans="1:8" ht="13.15">
      <c r="A144"/>
      <c r="B144"/>
      <c r="C144"/>
      <c r="D144"/>
      <c r="E144"/>
      <c r="F144"/>
      <c r="G144"/>
      <c r="H144"/>
    </row>
    <row r="145" spans="1:8" ht="13.15">
      <c r="A145"/>
      <c r="B145"/>
      <c r="C145"/>
      <c r="D145"/>
      <c r="E145"/>
      <c r="F145"/>
      <c r="G145"/>
      <c r="H145"/>
    </row>
    <row r="146" spans="1:8" ht="13.15">
      <c r="A146"/>
      <c r="B146"/>
      <c r="C146"/>
      <c r="D146"/>
      <c r="E146"/>
      <c r="F146"/>
      <c r="G146"/>
      <c r="H146"/>
    </row>
    <row r="147" spans="1:8" ht="13.15">
      <c r="A147"/>
      <c r="B147"/>
      <c r="C147"/>
      <c r="D147"/>
      <c r="E147"/>
      <c r="F147"/>
      <c r="G147"/>
      <c r="H147"/>
    </row>
    <row r="148" spans="1:8" ht="13.15">
      <c r="A148"/>
      <c r="B148"/>
      <c r="C148"/>
      <c r="D148"/>
      <c r="E148"/>
      <c r="F148"/>
      <c r="G148"/>
      <c r="H148"/>
    </row>
    <row r="149" spans="1:8" ht="13.15">
      <c r="A149"/>
      <c r="B149"/>
      <c r="C149"/>
      <c r="D149"/>
      <c r="E149"/>
      <c r="F149"/>
      <c r="G149"/>
      <c r="H149"/>
    </row>
    <row r="150" spans="1:8" ht="13.15">
      <c r="A150"/>
      <c r="B150"/>
      <c r="C150"/>
      <c r="D150"/>
      <c r="E150"/>
      <c r="F150"/>
      <c r="G150"/>
      <c r="H150"/>
    </row>
    <row r="176" spans="2:4">
      <c r="B176" s="229"/>
      <c r="C176" s="230" t="s">
        <v>194</v>
      </c>
      <c r="D176" s="231"/>
    </row>
    <row r="177" spans="1:4">
      <c r="B177" s="229"/>
      <c r="C177" s="230"/>
      <c r="D177" s="231"/>
    </row>
    <row r="178" spans="1:4">
      <c r="A178" s="60"/>
      <c r="B178" s="222" t="s">
        <v>36</v>
      </c>
      <c r="C178" s="232" t="s">
        <v>37</v>
      </c>
      <c r="D178" s="231"/>
    </row>
    <row r="179" spans="1:4">
      <c r="A179" s="60"/>
      <c r="B179" s="222"/>
      <c r="C179" s="233"/>
      <c r="D179" s="231"/>
    </row>
    <row r="180" spans="1:4" ht="34.9" customHeight="1">
      <c r="A180" s="60"/>
      <c r="B180" s="222"/>
      <c r="C180" s="234" t="s">
        <v>195</v>
      </c>
      <c r="D180" s="231"/>
    </row>
    <row r="181" spans="1:4">
      <c r="B181" s="222"/>
      <c r="C181" s="231"/>
      <c r="D181" s="231"/>
    </row>
    <row r="182" spans="1:4">
      <c r="B182" s="222" t="s">
        <v>41</v>
      </c>
      <c r="C182" s="232" t="s">
        <v>42</v>
      </c>
      <c r="D182" s="231"/>
    </row>
    <row r="183" spans="1:4">
      <c r="B183" s="222"/>
      <c r="C183" s="233"/>
      <c r="D183" s="231"/>
    </row>
    <row r="184" spans="1:4" ht="41.45">
      <c r="B184" s="222"/>
      <c r="C184" s="234" t="s">
        <v>196</v>
      </c>
      <c r="D184" s="231"/>
    </row>
    <row r="185" spans="1:4">
      <c r="B185" s="222"/>
      <c r="C185" s="234"/>
      <c r="D185" s="231"/>
    </row>
    <row r="186" spans="1:4">
      <c r="A186" s="60"/>
      <c r="B186" s="222" t="s">
        <v>48</v>
      </c>
      <c r="C186" s="232" t="s">
        <v>49</v>
      </c>
      <c r="D186" s="231"/>
    </row>
    <row r="187" spans="1:4">
      <c r="B187" s="222"/>
      <c r="C187" s="233"/>
      <c r="D187" s="231"/>
    </row>
    <row r="188" spans="1:4" ht="82.9">
      <c r="B188" s="222"/>
      <c r="C188" s="234" t="s">
        <v>197</v>
      </c>
      <c r="D188" s="231"/>
    </row>
    <row r="189" spans="1:4">
      <c r="B189" s="222"/>
      <c r="C189" s="235"/>
      <c r="D189" s="231"/>
    </row>
    <row r="190" spans="1:4">
      <c r="A190" s="60"/>
      <c r="B190" s="222" t="s">
        <v>51</v>
      </c>
      <c r="C190" s="232" t="s">
        <v>52</v>
      </c>
      <c r="D190" s="231"/>
    </row>
    <row r="191" spans="1:4">
      <c r="B191" s="222"/>
      <c r="C191" s="233"/>
      <c r="D191" s="231"/>
    </row>
    <row r="192" spans="1:4" ht="41.45">
      <c r="B192" s="222"/>
      <c r="C192" s="236" t="s">
        <v>198</v>
      </c>
      <c r="D192" s="231"/>
    </row>
    <row r="193" spans="1:5">
      <c r="B193" s="222"/>
      <c r="C193" s="236"/>
      <c r="D193" s="231"/>
    </row>
    <row r="194" spans="1:5">
      <c r="B194" s="222" t="s">
        <v>54</v>
      </c>
      <c r="C194" s="237" t="s">
        <v>199</v>
      </c>
      <c r="D194" s="231"/>
    </row>
    <row r="195" spans="1:5">
      <c r="B195" s="222"/>
      <c r="C195" s="237"/>
      <c r="D195" s="231"/>
    </row>
    <row r="196" spans="1:5" ht="41.45">
      <c r="A196" s="60"/>
      <c r="B196" s="222"/>
      <c r="C196" s="236" t="s">
        <v>200</v>
      </c>
      <c r="D196" s="231"/>
    </row>
    <row r="197" spans="1:5">
      <c r="A197" s="60"/>
      <c r="B197" s="222"/>
      <c r="C197" s="236"/>
      <c r="D197" s="231"/>
    </row>
    <row r="198" spans="1:5">
      <c r="A198" s="60"/>
      <c r="B198" s="222" t="s">
        <v>57</v>
      </c>
      <c r="C198" s="232" t="s">
        <v>58</v>
      </c>
      <c r="D198" s="231"/>
    </row>
    <row r="199" spans="1:5">
      <c r="A199" s="60"/>
      <c r="B199" s="222"/>
      <c r="C199" s="233"/>
      <c r="D199" s="231"/>
    </row>
    <row r="200" spans="1:5" ht="55.15">
      <c r="B200" s="222"/>
      <c r="C200" s="234" t="s">
        <v>201</v>
      </c>
      <c r="D200" s="231"/>
    </row>
    <row r="201" spans="1:5">
      <c r="B201" s="222"/>
      <c r="C201" s="233"/>
      <c r="D201" s="231"/>
      <c r="E201" s="257" t="s">
        <v>202</v>
      </c>
    </row>
    <row r="202" spans="1:5">
      <c r="A202" s="60"/>
      <c r="B202" s="222" t="s">
        <v>61</v>
      </c>
      <c r="C202" s="232" t="s">
        <v>62</v>
      </c>
      <c r="D202" s="231"/>
    </row>
    <row r="203" spans="1:5">
      <c r="B203" s="222"/>
      <c r="C203" s="233"/>
      <c r="D203" s="231"/>
    </row>
    <row r="204" spans="1:5" ht="66.599999999999994" customHeight="1">
      <c r="B204" s="222"/>
      <c r="C204" s="234" t="s">
        <v>203</v>
      </c>
      <c r="D204" s="231"/>
    </row>
    <row r="205" spans="1:5">
      <c r="B205" s="222"/>
      <c r="C205" s="233"/>
      <c r="D205" s="231"/>
    </row>
    <row r="206" spans="1:5">
      <c r="A206" s="60"/>
      <c r="B206" s="222" t="s">
        <v>65</v>
      </c>
      <c r="C206" s="232" t="s">
        <v>66</v>
      </c>
      <c r="D206" s="231"/>
    </row>
    <row r="207" spans="1:5">
      <c r="B207" s="222"/>
      <c r="C207" s="233"/>
      <c r="D207" s="231"/>
    </row>
    <row r="208" spans="1:5" ht="63" customHeight="1">
      <c r="B208" s="222"/>
      <c r="C208" s="234" t="s">
        <v>204</v>
      </c>
      <c r="D208" s="231"/>
    </row>
    <row r="209" spans="1:4">
      <c r="B209" s="222"/>
      <c r="C209" s="233"/>
      <c r="D209" s="231"/>
    </row>
    <row r="210" spans="1:4">
      <c r="A210" s="60"/>
      <c r="B210" s="222" t="s">
        <v>69</v>
      </c>
      <c r="C210" s="232" t="s">
        <v>70</v>
      </c>
      <c r="D210" s="231"/>
    </row>
    <row r="211" spans="1:4">
      <c r="A211" s="60"/>
      <c r="B211" s="222"/>
      <c r="C211" s="233"/>
      <c r="D211" s="231"/>
    </row>
    <row r="212" spans="1:4" ht="54.6" customHeight="1">
      <c r="A212" s="60"/>
      <c r="B212" s="222"/>
      <c r="C212" s="234" t="s">
        <v>205</v>
      </c>
      <c r="D212" s="231"/>
    </row>
    <row r="213" spans="1:4">
      <c r="A213" s="60"/>
      <c r="B213" s="222"/>
      <c r="C213" s="234"/>
      <c r="D213" s="231"/>
    </row>
    <row r="214" spans="1:4">
      <c r="A214" s="60"/>
      <c r="B214" s="222" t="s">
        <v>72</v>
      </c>
      <c r="C214" s="232" t="s">
        <v>73</v>
      </c>
      <c r="D214" s="231"/>
    </row>
    <row r="215" spans="1:4">
      <c r="A215" s="60"/>
      <c r="B215" s="222"/>
      <c r="C215" s="234"/>
      <c r="D215" s="231"/>
    </row>
    <row r="216" spans="1:4" ht="27.6">
      <c r="A216" s="60"/>
      <c r="B216" s="222"/>
      <c r="C216" s="234" t="s">
        <v>206</v>
      </c>
      <c r="D216" s="231"/>
    </row>
    <row r="217" spans="1:4">
      <c r="A217" s="60"/>
      <c r="B217" s="222"/>
      <c r="C217" s="234"/>
      <c r="D217" s="231"/>
    </row>
    <row r="218" spans="1:4">
      <c r="A218" s="60"/>
      <c r="B218" s="222" t="s">
        <v>76</v>
      </c>
      <c r="C218" s="232" t="s">
        <v>207</v>
      </c>
      <c r="D218" s="231"/>
    </row>
    <row r="219" spans="1:4">
      <c r="B219" s="222"/>
      <c r="C219" s="233"/>
      <c r="D219" s="231"/>
    </row>
    <row r="220" spans="1:4" ht="72" customHeight="1">
      <c r="B220" s="222"/>
      <c r="C220" s="234" t="s">
        <v>208</v>
      </c>
      <c r="D220" s="231"/>
    </row>
    <row r="221" spans="1:4">
      <c r="B221" s="222"/>
      <c r="C221" s="233"/>
      <c r="D221" s="231"/>
    </row>
    <row r="222" spans="1:4">
      <c r="A222" s="60"/>
      <c r="B222" s="222" t="s">
        <v>79</v>
      </c>
      <c r="C222" s="232" t="s">
        <v>209</v>
      </c>
      <c r="D222" s="231"/>
    </row>
    <row r="223" spans="1:4">
      <c r="A223" s="60"/>
      <c r="B223" s="222"/>
      <c r="C223" s="233"/>
      <c r="D223" s="231"/>
    </row>
    <row r="224" spans="1:4" ht="31.9" customHeight="1">
      <c r="A224" s="60"/>
      <c r="B224" s="222"/>
      <c r="C224" s="234" t="s">
        <v>210</v>
      </c>
      <c r="D224" s="231"/>
    </row>
    <row r="225" spans="2:4">
      <c r="B225" s="222"/>
      <c r="C225" s="234"/>
      <c r="D225" s="231"/>
    </row>
    <row r="226" spans="2:4">
      <c r="B226" s="222" t="s">
        <v>84</v>
      </c>
      <c r="C226" s="232" t="s">
        <v>211</v>
      </c>
      <c r="D226" s="231"/>
    </row>
    <row r="227" spans="2:4">
      <c r="B227" s="222"/>
      <c r="C227" s="233"/>
      <c r="D227" s="231"/>
    </row>
    <row r="228" spans="2:4" ht="55.9" customHeight="1">
      <c r="B228" s="222"/>
      <c r="C228" s="234" t="s">
        <v>212</v>
      </c>
      <c r="D228" s="231"/>
    </row>
    <row r="229" spans="2:4">
      <c r="B229" s="222"/>
      <c r="C229" s="231"/>
      <c r="D229" s="231"/>
    </row>
    <row r="255" spans="2:4">
      <c r="B255" s="238"/>
      <c r="C255" s="239" t="s">
        <v>213</v>
      </c>
      <c r="D255" s="240"/>
    </row>
    <row r="256" spans="2:4">
      <c r="B256" s="238"/>
      <c r="C256" s="240"/>
      <c r="D256" s="240"/>
    </row>
    <row r="257" spans="1:4">
      <c r="B257" s="241" t="s">
        <v>105</v>
      </c>
      <c r="C257" s="239" t="s">
        <v>106</v>
      </c>
      <c r="D257" s="240"/>
    </row>
    <row r="258" spans="1:4">
      <c r="B258" s="241"/>
      <c r="C258" s="240"/>
      <c r="D258" s="240"/>
    </row>
    <row r="259" spans="1:4" ht="55.15">
      <c r="B259" s="241"/>
      <c r="C259" s="242" t="s">
        <v>214</v>
      </c>
      <c r="D259" s="240"/>
    </row>
    <row r="260" spans="1:4">
      <c r="A260" s="223"/>
      <c r="B260" s="241"/>
      <c r="C260" s="242"/>
      <c r="D260" s="240"/>
    </row>
    <row r="261" spans="1:4">
      <c r="A261" s="60"/>
      <c r="B261" s="241" t="s">
        <v>109</v>
      </c>
      <c r="C261" s="226" t="s">
        <v>110</v>
      </c>
      <c r="D261" s="240"/>
    </row>
    <row r="262" spans="1:4">
      <c r="A262" s="60"/>
      <c r="B262" s="241"/>
      <c r="C262" s="227"/>
      <c r="D262" s="240"/>
    </row>
    <row r="263" spans="1:4" ht="96.6">
      <c r="B263" s="241"/>
      <c r="C263" s="224" t="s">
        <v>215</v>
      </c>
      <c r="D263" s="240"/>
    </row>
    <row r="264" spans="1:4">
      <c r="A264" s="60"/>
      <c r="B264" s="241"/>
      <c r="C264" s="227"/>
      <c r="D264" s="240"/>
    </row>
    <row r="265" spans="1:4" ht="14.45" customHeight="1">
      <c r="A265" s="60"/>
      <c r="B265" s="241" t="s">
        <v>112</v>
      </c>
      <c r="C265" s="226" t="s">
        <v>113</v>
      </c>
      <c r="D265" s="240"/>
    </row>
    <row r="266" spans="1:4">
      <c r="B266" s="241"/>
      <c r="C266" s="227"/>
      <c r="D266" s="240"/>
    </row>
    <row r="267" spans="1:4" ht="91.9" customHeight="1">
      <c r="B267" s="241"/>
      <c r="C267" s="224" t="s">
        <v>216</v>
      </c>
      <c r="D267" s="240"/>
    </row>
    <row r="268" spans="1:4">
      <c r="B268" s="241"/>
      <c r="C268" s="227"/>
      <c r="D268" s="240"/>
    </row>
    <row r="269" spans="1:4" ht="13.15" customHeight="1">
      <c r="A269" s="60"/>
      <c r="B269" s="241" t="s">
        <v>125</v>
      </c>
      <c r="C269" s="226" t="s">
        <v>126</v>
      </c>
      <c r="D269" s="240"/>
    </row>
    <row r="270" spans="1:4">
      <c r="B270" s="241"/>
      <c r="C270" s="227"/>
      <c r="D270" s="240"/>
    </row>
    <row r="271" spans="1:4" ht="78.599999999999994" customHeight="1">
      <c r="B271" s="241"/>
      <c r="C271" s="224" t="s">
        <v>217</v>
      </c>
      <c r="D271" s="240"/>
    </row>
    <row r="272" spans="1:4">
      <c r="B272" s="241"/>
      <c r="C272" s="227"/>
      <c r="D272" s="240"/>
    </row>
    <row r="273" spans="1:4">
      <c r="A273" s="60"/>
      <c r="B273" s="241" t="s">
        <v>129</v>
      </c>
      <c r="C273" s="226" t="s">
        <v>80</v>
      </c>
      <c r="D273" s="240"/>
    </row>
    <row r="274" spans="1:4">
      <c r="B274" s="241"/>
      <c r="C274" s="227"/>
      <c r="D274" s="240"/>
    </row>
    <row r="275" spans="1:4" ht="58.15" customHeight="1">
      <c r="B275" s="241"/>
      <c r="C275" s="243" t="s">
        <v>218</v>
      </c>
      <c r="D275" s="240"/>
    </row>
    <row r="276" spans="1:4">
      <c r="B276" s="241"/>
      <c r="C276" s="227"/>
      <c r="D276" s="240"/>
    </row>
    <row r="277" spans="1:4">
      <c r="A277" s="60"/>
      <c r="B277" s="241"/>
      <c r="C277" s="227"/>
      <c r="D277" s="240"/>
    </row>
    <row r="278" spans="1:4">
      <c r="A278" s="60"/>
      <c r="B278" s="241" t="s">
        <v>132</v>
      </c>
      <c r="C278" s="244" t="s">
        <v>219</v>
      </c>
      <c r="D278" s="240"/>
    </row>
    <row r="279" spans="1:4" ht="15.6">
      <c r="A279" s="225"/>
      <c r="B279" s="241"/>
      <c r="C279" s="224"/>
      <c r="D279" s="240"/>
    </row>
    <row r="280" spans="1:4" ht="70.150000000000006">
      <c r="A280" s="60"/>
      <c r="B280" s="241"/>
      <c r="C280" s="224" t="s">
        <v>220</v>
      </c>
      <c r="D280" s="240"/>
    </row>
    <row r="281" spans="1:4">
      <c r="B281" s="241"/>
      <c r="C281" s="224"/>
      <c r="D281" s="240"/>
    </row>
    <row r="282" spans="1:4">
      <c r="B282" s="241"/>
      <c r="C282" s="226" t="s">
        <v>221</v>
      </c>
      <c r="D282" s="240"/>
    </row>
    <row r="283" spans="1:4">
      <c r="B283" s="241"/>
      <c r="C283" s="224"/>
      <c r="D283" s="240"/>
    </row>
    <row r="284" spans="1:4" ht="82.9" customHeight="1">
      <c r="B284" s="241"/>
      <c r="C284" s="224" t="s">
        <v>222</v>
      </c>
      <c r="D284" s="240"/>
    </row>
    <row r="285" spans="1:4">
      <c r="B285" s="241"/>
      <c r="C285" s="224"/>
      <c r="D285" s="240"/>
    </row>
    <row r="286" spans="1:4">
      <c r="B286" s="241"/>
      <c r="C286" s="224" t="s">
        <v>223</v>
      </c>
      <c r="D286" s="240"/>
    </row>
    <row r="287" spans="1:4">
      <c r="B287" s="241"/>
      <c r="C287" s="224"/>
      <c r="D287" s="240"/>
    </row>
    <row r="288" spans="1:4" ht="33" customHeight="1">
      <c r="B288" s="241"/>
      <c r="C288" s="224" t="s">
        <v>224</v>
      </c>
      <c r="D288" s="240"/>
    </row>
    <row r="289" spans="2:4">
      <c r="B289" s="241"/>
      <c r="C289" s="224"/>
      <c r="D289" s="240"/>
    </row>
    <row r="290" spans="2:4" ht="68.45" customHeight="1">
      <c r="B290" s="241"/>
      <c r="C290" s="224" t="s">
        <v>225</v>
      </c>
      <c r="D290" s="240"/>
    </row>
    <row r="291" spans="2:4">
      <c r="B291" s="241"/>
      <c r="C291" s="240"/>
      <c r="D291" s="240"/>
    </row>
  </sheetData>
  <sheetProtection algorithmName="SHA-512" hashValue="hxDuddJHqjHrMB8uEmF0Uak/Nq5WsjylVB0vl+UUpoRglPNGy9cjdsVFQWFOyqI3pXw2ab1BbO3P0N2lpmHMrw==" saltValue="jhvuNrzOz5PwPAB+sCTtyQ==" spinCount="100000" sheet="1" objects="1" scenarios="1" formatRows="0"/>
  <hyperlinks>
    <hyperlink ref="E13" location="'Detection worksheet'!A1" display="take me to the Detection worksheet" xr:uid="{00000000-0004-0000-0600-000000000000}"/>
    <hyperlink ref="E11" location="'Occurrence worksheet'!A1" display="take me to the Occurrence worksheet" xr:uid="{00000000-0004-0000-0600-000001000000}"/>
    <hyperlink ref="E17" location="'Results section 1'!A1" display="Show me the results" xr:uid="{00000000-0004-0000-0600-000002000000}"/>
    <hyperlink ref="E21" r:id="rId1" display="http://foodfraudadvisors.com/vulnerability-assessment-faq2/" xr:uid="{00000000-0004-0000-0600-000003000000}"/>
    <hyperlink ref="E23" r:id="rId2" display="http://foodfraudadvisors.com/what-next/" xr:uid="{00000000-0004-0000-0600-000004000000}"/>
    <hyperlink ref="C25" r:id="rId3" xr:uid="{00000000-0004-0000-0600-000005000000}"/>
    <hyperlink ref="E8" location="'Scope worksheet'!A1" display="take me to the Scope worksheet" xr:uid="{00000000-0004-0000-0600-000006000000}"/>
    <hyperlink ref="C22" r:id="rId4" xr:uid="{00000000-0004-0000-0600-000007000000}"/>
  </hyperlinks>
  <pageMargins left="1" right="1" top="1" bottom="1" header="0.5" footer="0.5"/>
  <pageSetup paperSize="9" scale="31" fitToHeight="0" orientation="portrait" r:id="rId5"/>
  <headerFooter>
    <oddHeader>&amp;CVulnerability Assessment Tool, Food Fraud Advisors 2018</oddHead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B35CB-EE76-4A64-88BA-6B5C08150CEC}">
  <sheetPr codeName="Sheet5"/>
  <dimension ref="A1:H72"/>
  <sheetViews>
    <sheetView showGridLines="0" showRowColHeaders="0" showRuler="0" view="pageLayout" zoomScaleNormal="100" workbookViewId="0">
      <selection sqref="A1:C1"/>
    </sheetView>
  </sheetViews>
  <sheetFormatPr defaultRowHeight="13.15"/>
  <cols>
    <col min="1" max="1" width="3.42578125" customWidth="1"/>
    <col min="2" max="2" width="14.7109375" customWidth="1"/>
    <col min="3" max="3" width="64.28515625" customWidth="1"/>
    <col min="5" max="5" width="3.42578125" customWidth="1"/>
    <col min="6" max="6" width="12.28515625" customWidth="1"/>
    <col min="7" max="7" width="13.85546875" customWidth="1"/>
    <col min="8" max="8" width="12.28515625" customWidth="1"/>
    <col min="9" max="9" width="13" customWidth="1"/>
    <col min="10" max="10" width="12.7109375" customWidth="1"/>
    <col min="11" max="11" width="13.7109375" customWidth="1"/>
  </cols>
  <sheetData>
    <row r="1" spans="1:3" ht="48" customHeight="1">
      <c r="A1" s="412" t="s">
        <v>226</v>
      </c>
      <c r="B1" s="412"/>
      <c r="C1" s="412"/>
    </row>
    <row r="2" spans="1:3" ht="15" customHeight="1">
      <c r="A2" s="290"/>
    </row>
    <row r="3" spans="1:3" ht="17.45">
      <c r="A3" s="280" t="s">
        <v>227</v>
      </c>
    </row>
    <row r="5" spans="1:3" ht="13.9">
      <c r="A5" s="279">
        <v>1</v>
      </c>
      <c r="B5" s="289" t="s">
        <v>228</v>
      </c>
    </row>
    <row r="6" spans="1:3" ht="13.9">
      <c r="A6" s="279">
        <v>2</v>
      </c>
      <c r="B6" s="289" t="s">
        <v>229</v>
      </c>
    </row>
    <row r="7" spans="1:3" ht="13.9">
      <c r="A7" s="279">
        <v>3</v>
      </c>
      <c r="B7" s="289" t="s">
        <v>230</v>
      </c>
    </row>
    <row r="8" spans="1:3" ht="13.9">
      <c r="A8" s="279">
        <v>4</v>
      </c>
      <c r="B8" s="289" t="s">
        <v>231</v>
      </c>
    </row>
    <row r="9" spans="1:3" ht="13.9">
      <c r="A9" s="279">
        <v>5</v>
      </c>
      <c r="B9" s="289" t="s">
        <v>232</v>
      </c>
    </row>
    <row r="12" spans="1:3" ht="17.45">
      <c r="A12" s="287">
        <v>1</v>
      </c>
      <c r="B12" s="280" t="s">
        <v>228</v>
      </c>
      <c r="C12" s="283"/>
    </row>
    <row r="13" spans="1:3" ht="13.9">
      <c r="B13" s="283"/>
      <c r="C13" s="283"/>
    </row>
    <row r="14" spans="1:3" ht="34.9" customHeight="1">
      <c r="B14" s="409" t="s">
        <v>233</v>
      </c>
      <c r="C14" s="409"/>
    </row>
    <row r="15" spans="1:3" ht="69.599999999999994" customHeight="1">
      <c r="B15" s="409" t="s">
        <v>234</v>
      </c>
      <c r="C15" s="409"/>
    </row>
    <row r="16" spans="1:3" ht="54" customHeight="1">
      <c r="B16" s="409" t="s">
        <v>235</v>
      </c>
      <c r="C16" s="409"/>
    </row>
    <row r="17" spans="1:8" ht="30" customHeight="1">
      <c r="B17" s="409" t="s">
        <v>236</v>
      </c>
      <c r="C17" s="409"/>
      <c r="H17" s="284"/>
    </row>
    <row r="18" spans="1:8" ht="40.9" customHeight="1">
      <c r="B18" s="409" t="s">
        <v>237</v>
      </c>
      <c r="C18" s="409"/>
      <c r="H18" s="284"/>
    </row>
    <row r="19" spans="1:8" ht="74.45" customHeight="1">
      <c r="B19" s="409" t="s">
        <v>238</v>
      </c>
      <c r="C19" s="409"/>
    </row>
    <row r="20" spans="1:8" ht="94.15" customHeight="1">
      <c r="B20" s="409" t="s">
        <v>239</v>
      </c>
      <c r="C20" s="409"/>
      <c r="G20" s="281"/>
    </row>
    <row r="21" spans="1:8" ht="72.599999999999994" customHeight="1">
      <c r="B21" s="409" t="s">
        <v>240</v>
      </c>
      <c r="C21" s="409"/>
    </row>
    <row r="22" spans="1:8" ht="54.6" customHeight="1">
      <c r="F22" s="282"/>
    </row>
    <row r="23" spans="1:8" ht="17.45">
      <c r="A23" s="287">
        <v>2</v>
      </c>
      <c r="B23" s="280" t="s">
        <v>241</v>
      </c>
      <c r="C23" s="273"/>
      <c r="F23" s="282"/>
    </row>
    <row r="24" spans="1:8" ht="17.45">
      <c r="B24" s="280" t="s">
        <v>242</v>
      </c>
      <c r="C24" s="273"/>
      <c r="F24" s="282"/>
    </row>
    <row r="25" spans="1:8" ht="17.45">
      <c r="B25" s="280"/>
      <c r="C25" s="273"/>
      <c r="F25" s="282"/>
    </row>
    <row r="26" spans="1:8" ht="14.45">
      <c r="B26" s="279" t="s">
        <v>243</v>
      </c>
      <c r="C26" s="273"/>
      <c r="F26" s="282"/>
    </row>
    <row r="27" spans="1:8" ht="13.9" thickBot="1">
      <c r="B27" s="274"/>
      <c r="C27" s="273"/>
    </row>
    <row r="28" spans="1:8" ht="14.45" thickBot="1">
      <c r="B28" s="275" t="s">
        <v>244</v>
      </c>
      <c r="C28" s="276" t="s">
        <v>243</v>
      </c>
    </row>
    <row r="29" spans="1:8" ht="28.15" thickBot="1">
      <c r="B29" s="277" t="s">
        <v>149</v>
      </c>
      <c r="C29" s="278" t="s">
        <v>245</v>
      </c>
    </row>
    <row r="30" spans="1:8" ht="28.15" thickBot="1">
      <c r="B30" s="277" t="s">
        <v>150</v>
      </c>
      <c r="C30" s="278" t="s">
        <v>246</v>
      </c>
    </row>
    <row r="31" spans="1:8" ht="14.45" thickBot="1">
      <c r="B31" s="277" t="s">
        <v>151</v>
      </c>
      <c r="C31" s="278" t="s">
        <v>247</v>
      </c>
    </row>
    <row r="32" spans="1:8" ht="28.15" thickBot="1">
      <c r="B32" s="277" t="s">
        <v>152</v>
      </c>
      <c r="C32" s="278" t="s">
        <v>248</v>
      </c>
    </row>
    <row r="33" spans="1:3" ht="28.15" thickBot="1">
      <c r="B33" s="277" t="s">
        <v>154</v>
      </c>
      <c r="C33" s="278" t="s">
        <v>249</v>
      </c>
    </row>
    <row r="34" spans="1:3">
      <c r="C34" s="273"/>
    </row>
    <row r="35" spans="1:3">
      <c r="B35" s="273"/>
      <c r="C35" s="273"/>
    </row>
    <row r="36" spans="1:3" ht="13.9">
      <c r="B36" s="279" t="s">
        <v>250</v>
      </c>
      <c r="C36" s="273"/>
    </row>
    <row r="37" spans="1:3" ht="13.9" thickBot="1">
      <c r="B37" s="273"/>
      <c r="C37" s="273"/>
    </row>
    <row r="38" spans="1:3" ht="14.45" thickBot="1">
      <c r="B38" s="275" t="s">
        <v>244</v>
      </c>
      <c r="C38" s="276" t="s">
        <v>250</v>
      </c>
    </row>
    <row r="39" spans="1:3" ht="28.15" thickBot="1">
      <c r="B39" s="277" t="s">
        <v>154</v>
      </c>
      <c r="C39" s="278" t="s">
        <v>251</v>
      </c>
    </row>
    <row r="40" spans="1:3" ht="28.15" thickBot="1">
      <c r="B40" s="277" t="s">
        <v>152</v>
      </c>
      <c r="C40" s="278" t="s">
        <v>252</v>
      </c>
    </row>
    <row r="41" spans="1:3" ht="14.45" thickBot="1">
      <c r="B41" s="277" t="s">
        <v>151</v>
      </c>
      <c r="C41" s="278" t="s">
        <v>253</v>
      </c>
    </row>
    <row r="42" spans="1:3" ht="14.45" thickBot="1">
      <c r="B42" s="277" t="s">
        <v>150</v>
      </c>
      <c r="C42" s="278" t="s">
        <v>254</v>
      </c>
    </row>
    <row r="43" spans="1:3" ht="28.15" thickBot="1">
      <c r="B43" s="277" t="s">
        <v>149</v>
      </c>
      <c r="C43" s="278" t="s">
        <v>255</v>
      </c>
    </row>
    <row r="44" spans="1:3" ht="13.9">
      <c r="B44" s="286"/>
      <c r="C44" s="285"/>
    </row>
    <row r="45" spans="1:3" ht="17.45">
      <c r="A45" s="287">
        <v>3</v>
      </c>
      <c r="B45" s="280" t="s">
        <v>256</v>
      </c>
      <c r="C45" s="285"/>
    </row>
    <row r="46" spans="1:3" ht="17.45">
      <c r="B46" s="280"/>
      <c r="C46" s="285"/>
    </row>
    <row r="47" spans="1:3" ht="34.9" customHeight="1">
      <c r="B47" s="409" t="s">
        <v>257</v>
      </c>
      <c r="C47" s="409"/>
    </row>
    <row r="49" spans="1:3" ht="172.9" customHeight="1">
      <c r="B49" s="409" t="s">
        <v>258</v>
      </c>
      <c r="C49" s="409"/>
    </row>
    <row r="51" spans="1:3" ht="52.9" customHeight="1">
      <c r="B51" s="409" t="s">
        <v>259</v>
      </c>
      <c r="C51" s="409"/>
    </row>
    <row r="53" spans="1:3" ht="66" customHeight="1">
      <c r="B53" s="409" t="s">
        <v>260</v>
      </c>
      <c r="C53" s="409"/>
    </row>
    <row r="55" spans="1:3" ht="17.45">
      <c r="A55" s="287">
        <v>4</v>
      </c>
      <c r="B55" s="280" t="s">
        <v>261</v>
      </c>
    </row>
    <row r="56" spans="1:3" ht="17.45">
      <c r="B56" s="280" t="s">
        <v>242</v>
      </c>
    </row>
    <row r="57" spans="1:3" ht="13.15" customHeight="1">
      <c r="B57" s="285"/>
    </row>
    <row r="58" spans="1:3" ht="99.6" customHeight="1">
      <c r="B58" s="410" t="s">
        <v>262</v>
      </c>
      <c r="C58" s="410"/>
    </row>
    <row r="59" spans="1:3" ht="13.15" customHeight="1">
      <c r="B59" s="288"/>
      <c r="C59" s="288"/>
    </row>
    <row r="60" spans="1:3" ht="73.900000000000006" customHeight="1">
      <c r="B60" s="410" t="s">
        <v>263</v>
      </c>
      <c r="C60" s="410"/>
    </row>
    <row r="61" spans="1:3" ht="26.45" customHeight="1">
      <c r="B61" s="413" t="s">
        <v>264</v>
      </c>
      <c r="C61" s="413"/>
    </row>
    <row r="62" spans="1:3" ht="34.9" customHeight="1">
      <c r="B62" s="413" t="s">
        <v>265</v>
      </c>
      <c r="C62" s="413"/>
    </row>
    <row r="63" spans="1:3" ht="19.899999999999999" customHeight="1">
      <c r="B63" s="410" t="s">
        <v>266</v>
      </c>
      <c r="C63" s="410"/>
    </row>
    <row r="64" spans="1:3" ht="13.9">
      <c r="B64" s="285"/>
    </row>
    <row r="66" spans="1:3" ht="17.45">
      <c r="A66" s="287">
        <v>5</v>
      </c>
      <c r="B66" s="280" t="s">
        <v>232</v>
      </c>
    </row>
    <row r="68" spans="1:3">
      <c r="B68" s="281" t="s">
        <v>267</v>
      </c>
    </row>
    <row r="69" spans="1:3" ht="30.6" customHeight="1">
      <c r="B69" s="411" t="s">
        <v>268</v>
      </c>
      <c r="C69" s="411"/>
    </row>
    <row r="71" spans="1:3">
      <c r="B71" s="281" t="s">
        <v>269</v>
      </c>
    </row>
    <row r="72" spans="1:3" ht="27" customHeight="1">
      <c r="B72" s="411" t="s">
        <v>270</v>
      </c>
      <c r="C72" s="411"/>
    </row>
  </sheetData>
  <sheetProtection algorithmName="SHA-512" hashValue="S4jX/c+hztFV4U4SWdzmDNLRHM07gdoTj7OCz0kqRd7Wvs0v9zQSKTvYiO6jmSIMEV9+VE7xQOjUkuW//eLw5A==" saltValue="ERrRAlG5rtglxzYjB4rfpw==" spinCount="100000" sheet="1" objects="1" scenarios="1"/>
  <mergeCells count="20">
    <mergeCell ref="B60:C60"/>
    <mergeCell ref="B69:C69"/>
    <mergeCell ref="B72:C72"/>
    <mergeCell ref="A1:C1"/>
    <mergeCell ref="B61:C61"/>
    <mergeCell ref="B62:C62"/>
    <mergeCell ref="B63:C63"/>
    <mergeCell ref="B49:C49"/>
    <mergeCell ref="B51:C51"/>
    <mergeCell ref="B53:C53"/>
    <mergeCell ref="B17:C17"/>
    <mergeCell ref="B18:C18"/>
    <mergeCell ref="B19:C19"/>
    <mergeCell ref="B20:C20"/>
    <mergeCell ref="B21:C21"/>
    <mergeCell ref="B14:C14"/>
    <mergeCell ref="B15:C15"/>
    <mergeCell ref="B16:C16"/>
    <mergeCell ref="B47:C47"/>
    <mergeCell ref="B58:C58"/>
  </mergeCells>
  <hyperlinks>
    <hyperlink ref="B69" r:id="rId1" xr:uid="{7EAF7E15-329A-45B6-81EA-49011E607E08}"/>
    <hyperlink ref="B72" r:id="rId2" xr:uid="{BDC175B1-1FE2-4C2F-B8F7-824FE781AC96}"/>
    <hyperlink ref="B6" location="'About the method'!B23" display="Descriptors" xr:uid="{BB6A6095-AA5C-4ADF-BC55-5BD9E5965E8E}"/>
    <hyperlink ref="B5" location="'About the method'!B12" display="Methodology" xr:uid="{AE490232-758E-4887-97B1-9961989E5A86}"/>
    <hyperlink ref="B7" location="'About the method'!B45" display="Calculations" xr:uid="{1321C0DB-2FDA-49B4-BFF8-7EC97D52BD85}"/>
    <hyperlink ref="B8" location="'About the method'!B55" display="Risk ratings" xr:uid="{85AE6B70-2D75-46C1-BFF6-0168A3C17C5A}"/>
    <hyperlink ref="B9" location="'About the method'!B66" display="References" xr:uid="{2BBA052A-CBD8-42CE-9991-AF8913BD279F}"/>
  </hyperlinks>
  <pageMargins left="0.7" right="0.7" top="0.75" bottom="0.75" header="0.3" footer="0.3"/>
  <pageSetup paperSize="9" orientation="portrait" horizontalDpi="0" verticalDpi="0" r:id="rId3"/>
  <headerFooter>
    <oddHeader>&amp;C&amp;K00CC00Vulnerability Assessment Tool, Food Fraud Advisors © 2018</oddHeader>
    <oddFooter>&amp;CPage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A1:M1004"/>
  <sheetViews>
    <sheetView zoomScaleNormal="100" workbookViewId="0">
      <selection activeCell="A2" sqref="A2"/>
    </sheetView>
  </sheetViews>
  <sheetFormatPr defaultColWidth="17.28515625" defaultRowHeight="15" customHeight="1"/>
  <cols>
    <col min="1" max="1" width="12.7109375" style="4" customWidth="1"/>
    <col min="2" max="23" width="14.42578125" style="4" customWidth="1"/>
    <col min="24" max="16384" width="17.28515625" style="4"/>
  </cols>
  <sheetData>
    <row r="1" spans="1:13" ht="15.75" customHeight="1">
      <c r="A1" s="4" t="s">
        <v>271</v>
      </c>
    </row>
    <row r="2" spans="1:13" ht="15.75" customHeight="1">
      <c r="A2" s="304" t="s">
        <v>272</v>
      </c>
    </row>
    <row r="3" spans="1:13" ht="15.75" customHeight="1">
      <c r="A3" s="251" t="s">
        <v>273</v>
      </c>
    </row>
    <row r="4" spans="1:13" ht="15.75" customHeight="1"/>
    <row r="5" spans="1:13" ht="15.75" customHeight="1"/>
    <row r="6" spans="1:13" ht="15.75" customHeight="1"/>
    <row r="7" spans="1:13" ht="15.75" customHeight="1">
      <c r="A7" s="1"/>
      <c r="B7" s="1"/>
      <c r="C7" s="1"/>
      <c r="D7" s="1"/>
      <c r="E7" s="1"/>
    </row>
    <row r="8" spans="1:13" ht="15.75" customHeight="1">
      <c r="A8" s="1"/>
      <c r="B8" s="1"/>
      <c r="C8" s="1"/>
      <c r="D8" s="1"/>
      <c r="E8" s="1"/>
    </row>
    <row r="9" spans="1:13" ht="15.75" customHeight="1">
      <c r="A9" s="1"/>
      <c r="B9" s="1"/>
      <c r="C9" s="1"/>
      <c r="D9" s="1"/>
      <c r="E9" s="1"/>
    </row>
    <row r="10" spans="1:13" ht="15.75" customHeight="1">
      <c r="A10" s="1"/>
      <c r="B10" s="1"/>
      <c r="C10" s="1"/>
      <c r="D10" s="1"/>
      <c r="E10" s="1"/>
    </row>
    <row r="11" spans="1:13" ht="15.75" customHeight="1">
      <c r="A11" s="297"/>
      <c r="B11" s="297"/>
      <c r="C11" s="297"/>
      <c r="D11" s="297"/>
      <c r="E11" s="297"/>
      <c r="F11" s="297"/>
      <c r="G11" s="297"/>
      <c r="H11" s="297"/>
      <c r="I11" s="297"/>
      <c r="J11" s="297"/>
      <c r="K11" s="297"/>
      <c r="L11" s="297"/>
      <c r="M11" s="297"/>
    </row>
    <row r="12" spans="1:13" ht="15.75" customHeight="1">
      <c r="A12" s="297"/>
      <c r="B12" s="297"/>
      <c r="C12" s="297"/>
      <c r="D12" s="297"/>
      <c r="E12" s="297"/>
      <c r="F12" s="297"/>
      <c r="G12" s="297"/>
      <c r="H12" s="297" t="s">
        <v>274</v>
      </c>
      <c r="I12" s="297"/>
      <c r="J12" s="297"/>
      <c r="K12" s="297"/>
      <c r="L12" s="297"/>
      <c r="M12" s="297"/>
    </row>
    <row r="13" spans="1:13" ht="15.75" customHeight="1">
      <c r="A13" s="297"/>
      <c r="B13" s="297"/>
      <c r="C13" s="297"/>
      <c r="D13" s="297"/>
      <c r="E13" s="297"/>
      <c r="F13" s="297"/>
      <c r="G13" s="297" t="s">
        <v>275</v>
      </c>
      <c r="H13" s="305">
        <v>1</v>
      </c>
      <c r="I13" s="305">
        <v>2</v>
      </c>
      <c r="J13" s="305">
        <v>3</v>
      </c>
      <c r="K13" s="305">
        <v>4</v>
      </c>
      <c r="L13" s="305">
        <v>5</v>
      </c>
      <c r="M13" s="297"/>
    </row>
    <row r="14" spans="1:13" ht="15.75" customHeight="1">
      <c r="A14" s="297"/>
      <c r="B14" s="297"/>
      <c r="C14" s="297"/>
      <c r="D14" s="297"/>
      <c r="E14" s="297"/>
      <c r="F14" s="297"/>
      <c r="G14" s="297"/>
      <c r="H14" s="315" t="s">
        <v>149</v>
      </c>
      <c r="I14" s="315" t="s">
        <v>150</v>
      </c>
      <c r="J14" s="315" t="s">
        <v>151</v>
      </c>
      <c r="K14" s="315" t="s">
        <v>152</v>
      </c>
      <c r="L14" s="315" t="s">
        <v>154</v>
      </c>
      <c r="M14" s="297"/>
    </row>
    <row r="15" spans="1:13" ht="15.75" customHeight="1">
      <c r="A15" s="297"/>
      <c r="B15" s="297"/>
      <c r="C15" s="297"/>
      <c r="D15" s="297"/>
      <c r="E15" s="297"/>
      <c r="F15" s="297">
        <v>1</v>
      </c>
      <c r="G15" s="297" t="s">
        <v>154</v>
      </c>
      <c r="H15" s="316" t="str">
        <f>IF(AND($H$25=1,$H$29=1),"X","")</f>
        <v/>
      </c>
      <c r="I15" s="316" t="str">
        <f>IF(AND($H$25=2,$H$29=1),"X","")</f>
        <v/>
      </c>
      <c r="J15" s="316" t="str">
        <f>IF(AND($H$25=3,$H$29=1),"X","")</f>
        <v/>
      </c>
      <c r="K15" s="316" t="str">
        <f>IF(AND($H$25=4,$H$29=1),"X","")</f>
        <v/>
      </c>
      <c r="L15" s="316" t="str">
        <f>IF(AND($H$25=5,$H$29=1),"X","")</f>
        <v/>
      </c>
      <c r="M15" s="297">
        <v>15</v>
      </c>
    </row>
    <row r="16" spans="1:13" ht="15.75" customHeight="1">
      <c r="A16" s="297"/>
      <c r="B16" s="297"/>
      <c r="C16" s="297"/>
      <c r="D16" s="297"/>
      <c r="E16" s="297"/>
      <c r="F16" s="297">
        <v>2</v>
      </c>
      <c r="G16" s="297" t="s">
        <v>152</v>
      </c>
      <c r="H16" s="316" t="str">
        <f>IF(AND($H$25=1,$H$29=2),"X","")</f>
        <v/>
      </c>
      <c r="I16" s="316" t="str">
        <f>IF(AND($H$25=2,$H$29=2),"X","")</f>
        <v/>
      </c>
      <c r="J16" s="316" t="str">
        <f>IF(AND($H$25=3,$H$29=2),"X","")</f>
        <v/>
      </c>
      <c r="K16" s="316" t="str">
        <f>IF(AND($H$25=4,$H$29=2),"X","")</f>
        <v/>
      </c>
      <c r="L16" s="316" t="str">
        <f>IF(AND($H$25=5,$H$29=2),"X","")</f>
        <v/>
      </c>
      <c r="M16" s="297">
        <v>16</v>
      </c>
    </row>
    <row r="17" spans="1:13" ht="15.75" customHeight="1">
      <c r="A17" s="297"/>
      <c r="B17" s="297"/>
      <c r="C17" s="297"/>
      <c r="D17" s="297"/>
      <c r="E17" s="297"/>
      <c r="F17" s="297">
        <v>3</v>
      </c>
      <c r="G17" s="297" t="s">
        <v>151</v>
      </c>
      <c r="H17" s="316" t="str">
        <f>IF(AND($H$25=1,$H$29=3),"X","")</f>
        <v/>
      </c>
      <c r="I17" s="316" t="str">
        <f>IF(AND($H$25=2,$H$29=3),"X","")</f>
        <v/>
      </c>
      <c r="J17" s="316" t="str">
        <f>IF(AND($H$25=3,$H$29=3),"X","")</f>
        <v/>
      </c>
      <c r="K17" s="316" t="str">
        <f>IF(AND($H$25=4,$H$29=3),"X","")</f>
        <v/>
      </c>
      <c r="L17" s="316" t="str">
        <f>IF(AND($H$25=5,$H$29=3),"X","")</f>
        <v/>
      </c>
      <c r="M17" s="297">
        <v>17</v>
      </c>
    </row>
    <row r="18" spans="1:13" ht="15.75" customHeight="1">
      <c r="A18" s="297"/>
      <c r="B18" s="297"/>
      <c r="C18" s="297"/>
      <c r="D18" s="297"/>
      <c r="E18" s="297"/>
      <c r="F18" s="297">
        <v>4</v>
      </c>
      <c r="G18" s="297" t="s">
        <v>155</v>
      </c>
      <c r="H18" s="316" t="str">
        <f>IF(AND($H$25=1,$H$29=4),"X","")</f>
        <v/>
      </c>
      <c r="I18" s="316" t="str">
        <f>IF(AND($H$25=2,$H$29=4),"X","")</f>
        <v/>
      </c>
      <c r="J18" s="316" t="str">
        <f>IF(AND($H$25=3,$H$29=4),"X","")</f>
        <v/>
      </c>
      <c r="K18" s="316" t="str">
        <f>IF(AND($H$25=4,$H$29=4),"X","")</f>
        <v/>
      </c>
      <c r="L18" s="316" t="str">
        <f>IF(AND($H$25=5,$H$29=4),"X","")</f>
        <v/>
      </c>
      <c r="M18" s="297">
        <v>18</v>
      </c>
    </row>
    <row r="19" spans="1:13" ht="15.75" customHeight="1">
      <c r="A19" s="297"/>
      <c r="B19" s="297"/>
      <c r="C19" s="297"/>
      <c r="D19" s="297"/>
      <c r="E19" s="297"/>
      <c r="F19" s="297">
        <v>5</v>
      </c>
      <c r="G19" s="297" t="s">
        <v>149</v>
      </c>
      <c r="H19" s="316" t="str">
        <f>IF(AND($H$25=1,$H$29=5),"X","")</f>
        <v/>
      </c>
      <c r="I19" s="316" t="str">
        <f>IF(AND($H$25=2,$H$29=5),"X","")</f>
        <v/>
      </c>
      <c r="J19" s="316" t="str">
        <f>IF(AND($H$25=3,$H$29=5),"X","")</f>
        <v/>
      </c>
      <c r="K19" s="316" t="str">
        <f>IF(AND($H$25=4,$H$29=5),"X","")</f>
        <v/>
      </c>
      <c r="L19" s="316" t="str">
        <f>IF(AND($H$25=5,$H$29=5),"X","")</f>
        <v>X</v>
      </c>
      <c r="M19" s="297">
        <v>19</v>
      </c>
    </row>
    <row r="20" spans="1:13" ht="15.75" customHeight="1">
      <c r="A20" s="297"/>
      <c r="B20" s="297"/>
      <c r="C20" s="297"/>
      <c r="D20" s="297"/>
      <c r="E20" s="297"/>
      <c r="F20" s="297"/>
      <c r="G20" s="297"/>
      <c r="H20" s="297"/>
      <c r="I20" s="297"/>
      <c r="J20" s="297"/>
      <c r="K20" s="297"/>
      <c r="L20" s="297"/>
      <c r="M20" s="297"/>
    </row>
    <row r="21" spans="1:13" ht="15.75" customHeight="1">
      <c r="A21" s="297"/>
      <c r="B21" s="297"/>
      <c r="C21" s="297"/>
      <c r="D21" s="297"/>
      <c r="E21" s="297"/>
      <c r="F21" s="297"/>
      <c r="G21" s="297" t="s">
        <v>276</v>
      </c>
      <c r="H21" s="297"/>
      <c r="I21" s="297"/>
      <c r="J21" s="297"/>
      <c r="K21" s="297"/>
      <c r="L21" s="297"/>
      <c r="M21" s="297"/>
    </row>
    <row r="22" spans="1:13" ht="12.75" customHeight="1">
      <c r="A22" s="297"/>
      <c r="B22" s="297"/>
      <c r="C22" s="297"/>
      <c r="D22" s="297"/>
      <c r="E22" s="297"/>
      <c r="F22" s="306"/>
      <c r="G22" s="307" t="s">
        <v>277</v>
      </c>
      <c r="H22" s="297"/>
      <c r="I22" s="297"/>
      <c r="J22" s="297"/>
      <c r="K22" s="297"/>
      <c r="L22" s="297"/>
      <c r="M22" s="297"/>
    </row>
    <row r="23" spans="1:13" ht="12.75" customHeight="1">
      <c r="A23" s="297"/>
      <c r="B23" s="297"/>
      <c r="C23" s="297"/>
      <c r="D23" s="297"/>
      <c r="E23" s="297"/>
      <c r="F23" s="306"/>
      <c r="G23" s="297" t="s">
        <v>278</v>
      </c>
      <c r="H23" s="308" t="s">
        <v>279</v>
      </c>
      <c r="I23" s="297"/>
      <c r="J23" s="297"/>
      <c r="K23" s="297"/>
      <c r="L23" s="297"/>
      <c r="M23" s="297"/>
    </row>
    <row r="24" spans="1:13" ht="12.75" customHeight="1">
      <c r="A24" s="297"/>
      <c r="B24" s="297"/>
      <c r="C24" s="297"/>
      <c r="D24" s="297"/>
      <c r="E24" s="297"/>
      <c r="F24" s="306" t="s">
        <v>280</v>
      </c>
      <c r="G24" s="297" t="s">
        <v>281</v>
      </c>
      <c r="H24" s="308" t="str">
        <f>'Occurrence worksheet'!G27</f>
        <v>Very likely/certain</v>
      </c>
      <c r="I24" s="308"/>
      <c r="J24" s="297"/>
      <c r="K24" s="297"/>
      <c r="L24" s="297"/>
      <c r="M24" s="297"/>
    </row>
    <row r="25" spans="1:13" ht="12.75" customHeight="1">
      <c r="A25" s="297"/>
      <c r="B25" s="297"/>
      <c r="C25" s="297"/>
      <c r="D25" s="297"/>
      <c r="E25" s="297"/>
      <c r="F25" s="306"/>
      <c r="G25" s="297" t="s">
        <v>282</v>
      </c>
      <c r="H25" s="308">
        <f>IF(H24="Very unlikely",1,IF(H24="Unlikely",2,IF(H24="Fairly likely",3,IF(H24="Likely",4,IF(H24="Very likely/certain",5,"ERROR")))))</f>
        <v>5</v>
      </c>
      <c r="I25" s="297"/>
      <c r="J25" s="297"/>
      <c r="K25" s="297"/>
      <c r="L25" s="297"/>
      <c r="M25" s="297"/>
    </row>
    <row r="26" spans="1:13" ht="12.75" customHeight="1">
      <c r="A26" s="297"/>
      <c r="B26" s="297"/>
      <c r="C26" s="297"/>
      <c r="D26" s="297"/>
      <c r="E26" s="297"/>
      <c r="F26" s="306"/>
      <c r="G26" s="307" t="s">
        <v>283</v>
      </c>
      <c r="H26" s="297"/>
      <c r="I26" s="297"/>
      <c r="J26" s="297"/>
      <c r="K26" s="297"/>
      <c r="L26" s="297"/>
      <c r="M26" s="297"/>
    </row>
    <row r="27" spans="1:13" ht="13.9">
      <c r="A27" s="414"/>
      <c r="B27" s="421"/>
      <c r="C27" s="421"/>
      <c r="D27" s="421"/>
      <c r="E27" s="297"/>
      <c r="F27" s="306"/>
      <c r="G27" s="297" t="s">
        <v>278</v>
      </c>
      <c r="H27" s="308" t="s">
        <v>284</v>
      </c>
      <c r="I27" s="297"/>
      <c r="J27" s="297"/>
      <c r="K27" s="297"/>
      <c r="L27" s="297"/>
      <c r="M27" s="297"/>
    </row>
    <row r="28" spans="1:13" ht="13.9">
      <c r="A28" s="309"/>
      <c r="B28" s="297"/>
      <c r="C28" s="297"/>
      <c r="D28" s="297"/>
      <c r="E28" s="297"/>
      <c r="F28" s="306" t="s">
        <v>285</v>
      </c>
      <c r="G28" s="297" t="s">
        <v>281</v>
      </c>
      <c r="H28" s="297" t="str">
        <f>'Detection worksheet'!G24</f>
        <v>Very unlikely to be detected</v>
      </c>
      <c r="I28" s="297"/>
      <c r="J28" s="297"/>
      <c r="K28" s="297"/>
      <c r="L28" s="297"/>
      <c r="M28" s="297"/>
    </row>
    <row r="29" spans="1:13" ht="13.9">
      <c r="A29" s="309"/>
      <c r="B29" s="297"/>
      <c r="C29" s="297"/>
      <c r="D29" s="297"/>
      <c r="E29" s="297"/>
      <c r="F29" s="306"/>
      <c r="G29" s="297" t="s">
        <v>282</v>
      </c>
      <c r="H29" s="310">
        <f>IF(H28="Very likely/certain to be detected",1,IF(H28="Likely to be detected",2,IF(H28="Fairly likely to be detected",3,IF(H28="Unlikely to be detected",4,IF(H28="Very unlikely to be detected",5,"ERROR")))))</f>
        <v>5</v>
      </c>
      <c r="I29" s="297"/>
      <c r="J29" s="297"/>
      <c r="K29" s="297"/>
      <c r="L29" s="297"/>
      <c r="M29" s="297"/>
    </row>
    <row r="30" spans="1:13" ht="13.15">
      <c r="A30" s="297"/>
      <c r="B30" s="297"/>
      <c r="C30" s="297"/>
      <c r="D30" s="297"/>
      <c r="E30" s="297"/>
      <c r="F30" s="306"/>
      <c r="G30" s="307"/>
      <c r="H30" s="310"/>
      <c r="I30" s="297"/>
      <c r="J30" s="297"/>
      <c r="K30" s="297"/>
      <c r="L30" s="297"/>
      <c r="M30" s="297"/>
    </row>
    <row r="31" spans="1:13" ht="13.15">
      <c r="A31" s="297"/>
      <c r="B31" s="297"/>
      <c r="C31" s="297"/>
      <c r="D31" s="297"/>
      <c r="E31" s="297"/>
      <c r="F31" s="306"/>
      <c r="G31" s="311" t="s">
        <v>286</v>
      </c>
      <c r="H31" s="312"/>
      <c r="I31" s="297"/>
      <c r="J31" s="297"/>
      <c r="K31" s="297"/>
      <c r="L31" s="297"/>
      <c r="M31" s="297"/>
    </row>
    <row r="32" spans="1:13" ht="13.15">
      <c r="A32" s="297"/>
      <c r="B32" s="297"/>
      <c r="C32" s="297"/>
      <c r="D32" s="297"/>
      <c r="E32" s="297"/>
      <c r="F32" s="306"/>
      <c r="G32" s="307"/>
      <c r="H32" s="307"/>
      <c r="I32" s="307"/>
      <c r="J32" s="307"/>
      <c r="K32" s="307"/>
      <c r="L32" s="307"/>
      <c r="M32" s="297"/>
    </row>
    <row r="33" spans="1:13" ht="13.15">
      <c r="A33" s="297"/>
      <c r="B33" s="297"/>
      <c r="C33" s="297"/>
      <c r="D33" s="297"/>
      <c r="E33" s="297"/>
      <c r="F33" s="297"/>
      <c r="G33" s="297" t="s">
        <v>287</v>
      </c>
      <c r="H33" s="313" t="str">
        <f>IF(OR($H$15="X",$H$16="x",$H$17="x"),"green","not green")</f>
        <v>not green</v>
      </c>
      <c r="I33" s="313" t="str">
        <f>IF(OR(I$15="X",I$16="x"),"green","not green")</f>
        <v>not green</v>
      </c>
      <c r="J33" s="313" t="str">
        <f>IF(J$15="X","green","not green")</f>
        <v>not green</v>
      </c>
      <c r="K33" s="313"/>
      <c r="L33" s="313"/>
      <c r="M33" s="297"/>
    </row>
    <row r="34" spans="1:13" ht="13.15">
      <c r="A34" s="297"/>
      <c r="B34" s="297"/>
      <c r="C34" s="297"/>
      <c r="D34" s="297"/>
      <c r="E34" s="297"/>
      <c r="F34" s="306"/>
      <c r="G34" s="297" t="s">
        <v>288</v>
      </c>
      <c r="H34" s="313" t="str">
        <f>IF(OR($H$18="X",$H$19="x"),"yellow","not yellow")</f>
        <v>not yellow</v>
      </c>
      <c r="I34" s="313" t="str">
        <f>IF(OR(I$17="X",I$18="x"),"yellow","not yellow")</f>
        <v>not yellow</v>
      </c>
      <c r="J34" s="313" t="str">
        <f>IF(OR(J$16="X",J$17="x"),"yellow","not yellow")</f>
        <v>not yellow</v>
      </c>
      <c r="K34" s="313" t="str">
        <f>IF(OR(K$15="x",K$16="X"),"yellow","not yellow")</f>
        <v>not yellow</v>
      </c>
      <c r="L34" s="313" t="str">
        <f>IF(OR(L$15="x"),"yellow","not yellow")</f>
        <v>not yellow</v>
      </c>
      <c r="M34" s="297"/>
    </row>
    <row r="35" spans="1:13" ht="13.15">
      <c r="A35" s="297"/>
      <c r="B35" s="297"/>
      <c r="C35" s="297"/>
      <c r="D35" s="297"/>
      <c r="E35" s="297"/>
      <c r="F35" s="306"/>
      <c r="G35" s="297" t="s">
        <v>289</v>
      </c>
      <c r="H35" s="313"/>
      <c r="I35" s="313" t="str">
        <f>IF(I$19="X","red","not red")</f>
        <v>not red</v>
      </c>
      <c r="J35" s="313" t="str">
        <f>IF(OR(J$18="X",J$19="x"),"red","not red")</f>
        <v>not red</v>
      </c>
      <c r="K35" s="313" t="str">
        <f>IF(OR(K$17="x",K$18="X",K$19="x"),"red","not red")</f>
        <v>not red</v>
      </c>
      <c r="L35" s="313" t="str">
        <f>IF(OR(L$16="X",L$17="x",L$18="x",L$19="x"),"red","not red")</f>
        <v>red</v>
      </c>
      <c r="M35" s="297"/>
    </row>
    <row r="36" spans="1:13" ht="13.15">
      <c r="A36" s="297"/>
      <c r="B36" s="297"/>
      <c r="C36" s="297"/>
      <c r="D36" s="297"/>
      <c r="E36" s="297"/>
      <c r="F36" s="297"/>
      <c r="G36" s="297"/>
      <c r="H36" s="313"/>
      <c r="I36" s="313"/>
      <c r="J36" s="313"/>
      <c r="K36" s="313"/>
      <c r="L36" s="313"/>
      <c r="M36" s="297"/>
    </row>
    <row r="37" spans="1:13" ht="13.15">
      <c r="A37" s="297"/>
      <c r="B37" s="297"/>
      <c r="C37" s="297"/>
      <c r="D37" s="297"/>
      <c r="E37" s="297"/>
      <c r="F37" s="297"/>
      <c r="G37" s="297"/>
      <c r="H37" s="313"/>
      <c r="I37" s="313"/>
      <c r="J37" s="313"/>
      <c r="K37" s="313"/>
      <c r="L37" s="313"/>
      <c r="M37" s="297"/>
    </row>
    <row r="38" spans="1:13" ht="13.15">
      <c r="A38" s="297"/>
      <c r="B38" s="297"/>
      <c r="C38" s="297"/>
      <c r="D38" s="297"/>
      <c r="E38" s="297"/>
      <c r="F38" s="297"/>
      <c r="G38" s="311" t="s">
        <v>290</v>
      </c>
      <c r="H38" s="314" t="str">
        <f>IF(COUNTIF(H33:L35,"red"),"High risk",IF(COUNTIF(H33:L35,"yellow"),"Medium risk",IF(COUNTIF(H33:L35,"green"),"Low risk","error")))</f>
        <v>High risk</v>
      </c>
      <c r="I38" s="297"/>
      <c r="J38" s="297"/>
      <c r="K38" s="297"/>
      <c r="L38" s="297"/>
      <c r="M38" s="297"/>
    </row>
    <row r="39" spans="1:13" ht="13.15">
      <c r="A39" s="297"/>
      <c r="B39" s="297"/>
      <c r="C39" s="297"/>
      <c r="D39" s="297"/>
      <c r="E39" s="297"/>
      <c r="F39" s="297"/>
      <c r="G39" s="297"/>
      <c r="H39" s="297"/>
      <c r="I39" s="297"/>
      <c r="J39" s="297"/>
      <c r="K39" s="297"/>
      <c r="L39" s="297"/>
      <c r="M39" s="297"/>
    </row>
    <row r="40" spans="1:13" ht="13.15">
      <c r="A40" s="297"/>
      <c r="B40" s="297"/>
      <c r="C40" s="297"/>
      <c r="D40" s="297"/>
      <c r="E40" s="297"/>
      <c r="F40" s="297"/>
      <c r="G40" s="297"/>
      <c r="H40" s="297"/>
      <c r="I40" s="297"/>
      <c r="J40" s="297"/>
      <c r="K40" s="297"/>
      <c r="L40" s="297"/>
      <c r="M40" s="297"/>
    </row>
    <row r="41" spans="1:13" ht="13.15">
      <c r="A41" s="297" t="s">
        <v>291</v>
      </c>
      <c r="B41" s="297"/>
      <c r="C41" s="297"/>
      <c r="D41" s="297"/>
      <c r="E41" s="297"/>
      <c r="F41" s="297"/>
      <c r="G41" s="297"/>
      <c r="H41" s="297"/>
      <c r="I41" s="297"/>
      <c r="J41" s="297"/>
      <c r="K41" s="297"/>
      <c r="L41" s="297"/>
      <c r="M41" s="297"/>
    </row>
    <row r="42" spans="1:13" ht="13.15">
      <c r="A42" s="297"/>
      <c r="B42" s="297"/>
      <c r="C42" s="297"/>
      <c r="D42" s="297"/>
      <c r="E42" s="297"/>
      <c r="F42" s="297"/>
      <c r="G42" s="297"/>
      <c r="H42" s="297"/>
      <c r="I42" s="297"/>
      <c r="J42" s="297"/>
      <c r="K42" s="297"/>
      <c r="L42" s="297"/>
      <c r="M42" s="297"/>
    </row>
    <row r="43" spans="1:13" ht="13.15">
      <c r="A43" s="297"/>
      <c r="B43" s="297"/>
      <c r="C43" s="297"/>
      <c r="D43" s="297"/>
      <c r="E43" s="297"/>
      <c r="F43" s="297"/>
      <c r="G43" s="297"/>
      <c r="H43" s="297"/>
      <c r="I43" s="297"/>
      <c r="J43" s="297"/>
      <c r="K43" s="297"/>
      <c r="L43" s="297"/>
      <c r="M43" s="297"/>
    </row>
    <row r="44" spans="1:13" ht="13.15">
      <c r="G44" s="1"/>
      <c r="H44" s="1"/>
      <c r="I44" s="1"/>
      <c r="J44" s="1"/>
      <c r="K44" s="1"/>
      <c r="L44" s="1"/>
    </row>
    <row r="45" spans="1:13" ht="13.15">
      <c r="G45" s="1"/>
      <c r="H45" s="1"/>
      <c r="I45" s="1"/>
      <c r="J45" s="1"/>
      <c r="K45" s="1"/>
      <c r="L45" s="1"/>
    </row>
    <row r="46" spans="1:13" ht="13.15">
      <c r="G46" s="1"/>
      <c r="H46" s="1"/>
      <c r="I46" s="1"/>
      <c r="J46" s="1"/>
      <c r="K46" s="1"/>
      <c r="L46" s="1"/>
    </row>
    <row r="47" spans="1:13" ht="13.15">
      <c r="G47" s="1"/>
      <c r="H47" s="1"/>
      <c r="I47" s="1"/>
      <c r="J47" s="1"/>
      <c r="K47" s="1"/>
      <c r="L47" s="1"/>
    </row>
    <row r="48" spans="1:13" ht="13.15">
      <c r="G48" s="1"/>
      <c r="H48" s="1"/>
      <c r="I48" s="1"/>
      <c r="J48" s="1"/>
      <c r="K48" s="1"/>
      <c r="L48" s="1"/>
    </row>
    <row r="49" spans="7:12" ht="13.15">
      <c r="G49" s="1"/>
      <c r="H49" s="1"/>
      <c r="I49" s="1"/>
      <c r="J49" s="1"/>
      <c r="K49" s="1"/>
      <c r="L49" s="1"/>
    </row>
    <row r="50" spans="7:12" ht="13.15">
      <c r="G50" s="1"/>
      <c r="H50" s="1"/>
      <c r="I50" s="1"/>
      <c r="J50" s="1"/>
      <c r="K50" s="1"/>
      <c r="L50" s="1"/>
    </row>
    <row r="51" spans="7:12" ht="13.15">
      <c r="G51" s="1"/>
      <c r="H51" s="1"/>
      <c r="I51" s="1"/>
      <c r="J51" s="1"/>
      <c r="K51" s="1"/>
      <c r="L51" s="1"/>
    </row>
    <row r="52" spans="7:12" ht="13.15">
      <c r="G52" s="1"/>
      <c r="H52" s="1"/>
      <c r="I52" s="1"/>
      <c r="J52" s="1"/>
      <c r="K52" s="1"/>
      <c r="L52" s="1"/>
    </row>
    <row r="53" spans="7:12" ht="13.15">
      <c r="G53" s="1"/>
      <c r="H53" s="1"/>
      <c r="I53" s="1"/>
      <c r="J53" s="1"/>
      <c r="K53" s="1"/>
      <c r="L53" s="1"/>
    </row>
    <row r="54" spans="7:12" ht="13.15">
      <c r="G54" s="1"/>
      <c r="H54" s="1"/>
      <c r="I54" s="1"/>
      <c r="J54" s="1"/>
      <c r="K54" s="1"/>
      <c r="L54" s="1"/>
    </row>
    <row r="55" spans="7:12" ht="13.15">
      <c r="G55" s="1"/>
      <c r="H55" s="1"/>
      <c r="I55" s="1"/>
      <c r="J55" s="1"/>
      <c r="K55" s="1"/>
      <c r="L55" s="1"/>
    </row>
    <row r="56" spans="7:12" ht="13.15">
      <c r="G56" s="1"/>
      <c r="H56" s="1"/>
      <c r="I56" s="1"/>
      <c r="J56" s="1"/>
      <c r="K56" s="1"/>
      <c r="L56" s="1"/>
    </row>
    <row r="57" spans="7:12" ht="13.15">
      <c r="G57" s="1"/>
      <c r="H57" s="1"/>
      <c r="I57" s="1"/>
      <c r="J57" s="1"/>
      <c r="K57" s="1"/>
      <c r="L57" s="1"/>
    </row>
    <row r="58" spans="7:12" ht="13.15"/>
    <row r="59" spans="7:12" ht="13.15"/>
    <row r="60" spans="7:12" ht="13.15"/>
    <row r="61" spans="7:12" ht="13.15"/>
    <row r="62" spans="7:12" ht="13.15"/>
    <row r="63" spans="7:12" ht="13.15"/>
    <row r="64" spans="7:12" ht="13.15"/>
    <row r="65" ht="13.15"/>
    <row r="66" ht="13.15"/>
    <row r="67" ht="13.15"/>
    <row r="68" ht="13.15"/>
    <row r="69" ht="13.15"/>
    <row r="70" ht="13.15"/>
    <row r="71" ht="13.15"/>
    <row r="72" ht="13.15"/>
    <row r="73" ht="13.15"/>
    <row r="74" ht="13.15"/>
    <row r="75" ht="13.15"/>
    <row r="76" ht="13.15"/>
    <row r="77" ht="13.15"/>
    <row r="78" ht="13.15"/>
    <row r="79" ht="13.15"/>
    <row r="80" ht="13.15"/>
    <row r="81" ht="13.15"/>
    <row r="82" ht="13.15"/>
    <row r="83" ht="13.15"/>
    <row r="84" ht="13.15"/>
    <row r="85" ht="13.15"/>
    <row r="86" ht="13.15"/>
    <row r="87" ht="13.15"/>
    <row r="88" ht="13.15"/>
    <row r="89" ht="13.15"/>
    <row r="90" ht="13.15"/>
    <row r="91" ht="13.15"/>
    <row r="92" ht="13.15"/>
    <row r="93" ht="13.15"/>
    <row r="94" ht="13.15"/>
    <row r="95" ht="13.15"/>
    <row r="96"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3.15"/>
    <row r="141" ht="13.15"/>
    <row r="142" ht="13.15"/>
    <row r="143" ht="13.15"/>
    <row r="144" ht="13.15"/>
    <row r="145" ht="13.15"/>
    <row r="146" ht="13.15"/>
    <row r="147" ht="13.15"/>
    <row r="148" ht="13.15"/>
    <row r="149" ht="13.15"/>
    <row r="150" ht="13.15"/>
    <row r="151" ht="13.15"/>
    <row r="152" ht="13.15"/>
    <row r="153" ht="13.15"/>
    <row r="154" ht="13.15"/>
    <row r="155" ht="13.15"/>
    <row r="156" ht="13.15"/>
    <row r="157" ht="13.15"/>
    <row r="158" ht="13.15"/>
    <row r="159" ht="13.15"/>
    <row r="160" ht="13.15"/>
    <row r="161" ht="13.15"/>
    <row r="162" ht="13.15"/>
    <row r="163" ht="13.15"/>
    <row r="164" ht="13.15"/>
    <row r="165" ht="13.15"/>
    <row r="166" ht="13.15"/>
    <row r="167" ht="13.15"/>
    <row r="168" ht="13.15"/>
    <row r="169" ht="13.15"/>
    <row r="170" ht="13.15"/>
    <row r="171" ht="13.15"/>
    <row r="172" ht="13.15"/>
    <row r="173" ht="13.15"/>
    <row r="174" ht="13.15"/>
    <row r="175" ht="13.15"/>
    <row r="176" ht="13.15"/>
    <row r="177" ht="13.15"/>
    <row r="178" ht="13.15"/>
    <row r="179" ht="13.15"/>
    <row r="180" ht="13.15"/>
    <row r="181" ht="13.15"/>
    <row r="182" ht="13.15"/>
    <row r="183" ht="13.15"/>
    <row r="184" ht="13.15"/>
    <row r="185" ht="13.15"/>
    <row r="186" ht="13.15"/>
    <row r="187" ht="13.15"/>
    <row r="188" ht="13.15"/>
    <row r="189" ht="13.15"/>
    <row r="190" ht="13.15"/>
    <row r="191" ht="13.15"/>
    <row r="192" ht="13.15"/>
    <row r="193" ht="13.15"/>
    <row r="194" ht="13.15"/>
    <row r="195" ht="13.15"/>
    <row r="196" ht="13.15"/>
    <row r="197" ht="13.15"/>
    <row r="198" ht="13.15"/>
    <row r="199" ht="13.15"/>
    <row r="200" ht="13.15"/>
    <row r="201" ht="13.15"/>
    <row r="202" ht="13.15"/>
    <row r="203" ht="13.15"/>
    <row r="204" ht="13.15"/>
    <row r="205" ht="13.15"/>
    <row r="206" ht="13.15"/>
    <row r="207" ht="13.15"/>
    <row r="208" ht="13.15"/>
    <row r="209" ht="13.15"/>
    <row r="210" ht="13.15"/>
    <row r="211" ht="13.15"/>
    <row r="212" ht="13.15"/>
    <row r="213" ht="13.15"/>
    <row r="214" ht="13.15"/>
    <row r="215" ht="13.15"/>
    <row r="216" ht="13.15"/>
    <row r="217" ht="13.15"/>
    <row r="218" ht="13.15"/>
    <row r="219" ht="13.15"/>
    <row r="220" ht="13.15"/>
    <row r="221" ht="13.15"/>
    <row r="222" ht="13.15"/>
    <row r="223" ht="13.15"/>
    <row r="224" ht="13.15"/>
    <row r="225" ht="13.15"/>
    <row r="226" ht="13.15"/>
    <row r="227" ht="13.15"/>
    <row r="228" ht="13.15"/>
    <row r="229" ht="13.15"/>
    <row r="230" ht="13.15"/>
    <row r="231" ht="13.15"/>
    <row r="232" ht="13.15"/>
    <row r="233" ht="13.15"/>
    <row r="234" ht="13.15"/>
    <row r="235" ht="13.15"/>
    <row r="236" ht="13.15"/>
    <row r="237" ht="13.15"/>
    <row r="238" ht="13.15"/>
    <row r="239" ht="13.15"/>
    <row r="240" ht="13.15"/>
    <row r="241" ht="13.15"/>
    <row r="242" ht="13.15"/>
    <row r="243" ht="13.15"/>
    <row r="244" ht="13.15"/>
    <row r="245" ht="13.15"/>
    <row r="246" ht="13.15"/>
    <row r="247" ht="13.15"/>
    <row r="248" ht="13.15"/>
    <row r="249" ht="13.15"/>
    <row r="250" ht="13.15"/>
    <row r="251" ht="13.15"/>
    <row r="252" ht="13.15"/>
    <row r="253" ht="13.15"/>
    <row r="254" ht="13.15"/>
    <row r="255" ht="13.15"/>
    <row r="256" ht="13.15"/>
    <row r="257" ht="13.15"/>
    <row r="258" ht="13.15"/>
    <row r="259" ht="13.15"/>
    <row r="260" ht="13.15"/>
    <row r="261" ht="13.15"/>
    <row r="262" ht="13.15"/>
    <row r="263" ht="13.15"/>
    <row r="264" ht="13.15"/>
    <row r="265" ht="13.15"/>
    <row r="266" ht="13.15"/>
    <row r="267" ht="13.15"/>
    <row r="268" ht="13.15"/>
    <row r="269" ht="13.15"/>
    <row r="270" ht="13.15"/>
    <row r="271" ht="13.15"/>
    <row r="272" ht="13.15"/>
    <row r="273" ht="13.15"/>
    <row r="274" ht="13.15"/>
    <row r="275" ht="13.15"/>
    <row r="276" ht="13.15"/>
    <row r="277" ht="13.15"/>
    <row r="278" ht="13.15"/>
    <row r="279" ht="13.15"/>
    <row r="280" ht="13.15"/>
    <row r="281" ht="13.15"/>
    <row r="282" ht="13.15"/>
    <row r="283" ht="13.15"/>
    <row r="284" ht="13.15"/>
    <row r="285" ht="13.15"/>
    <row r="286" ht="13.15"/>
    <row r="287" ht="13.15"/>
    <row r="288" ht="13.15"/>
    <row r="289" ht="13.15"/>
    <row r="290" ht="13.15"/>
    <row r="291" ht="13.15"/>
    <row r="292" ht="13.15"/>
    <row r="293" ht="13.15"/>
    <row r="294" ht="13.15"/>
    <row r="295" ht="13.15"/>
    <row r="296" ht="13.15"/>
    <row r="297" ht="13.15"/>
    <row r="298" ht="13.15"/>
    <row r="299" ht="13.15"/>
    <row r="300" ht="13.15"/>
    <row r="301" ht="13.15"/>
    <row r="302" ht="13.15"/>
    <row r="303" ht="13.15"/>
    <row r="304" ht="13.15"/>
    <row r="305" ht="13.15"/>
    <row r="306" ht="13.15"/>
    <row r="307" ht="13.15"/>
    <row r="308" ht="13.15"/>
    <row r="309" ht="13.15"/>
    <row r="310" ht="13.15"/>
    <row r="311" ht="13.15"/>
    <row r="312" ht="13.15"/>
    <row r="313" ht="13.15"/>
    <row r="314" ht="13.15"/>
    <row r="315" ht="13.15"/>
    <row r="316" ht="13.15"/>
    <row r="317" ht="13.15"/>
    <row r="318" ht="13.15"/>
    <row r="319" ht="13.15"/>
    <row r="320" ht="13.15"/>
    <row r="321" ht="13.15"/>
    <row r="322" ht="13.15"/>
    <row r="323" ht="13.15"/>
    <row r="324" ht="13.15"/>
    <row r="325" ht="13.15"/>
    <row r="326" ht="13.15"/>
    <row r="327" ht="13.15"/>
    <row r="328" ht="13.15"/>
    <row r="329" ht="13.15"/>
    <row r="330" ht="13.15"/>
    <row r="331" ht="13.15"/>
    <row r="332" ht="13.15"/>
    <row r="333" ht="13.15"/>
    <row r="334" ht="13.15"/>
    <row r="335" ht="13.15"/>
    <row r="336" ht="13.15"/>
    <row r="337" ht="13.15"/>
    <row r="338" ht="13.15"/>
    <row r="339" ht="13.15"/>
    <row r="340" ht="13.15"/>
    <row r="341" ht="13.15"/>
    <row r="342" ht="13.15"/>
    <row r="343" ht="13.15"/>
    <row r="344" ht="13.15"/>
    <row r="345" ht="13.15"/>
    <row r="346" ht="13.15"/>
    <row r="347" ht="13.15"/>
    <row r="348" ht="13.15"/>
    <row r="349" ht="13.15"/>
    <row r="350" ht="13.15"/>
    <row r="351" ht="13.15"/>
    <row r="352" ht="13.15"/>
    <row r="353" ht="13.15"/>
    <row r="354" ht="13.15"/>
    <row r="355" ht="13.15"/>
    <row r="356" ht="13.15"/>
    <row r="357" ht="13.15"/>
    <row r="358" ht="13.15"/>
    <row r="359" ht="13.15"/>
    <row r="360" ht="13.15"/>
    <row r="361" ht="13.15"/>
    <row r="362" ht="13.15"/>
    <row r="363" ht="13.15"/>
    <row r="364" ht="13.15"/>
    <row r="365" ht="13.15"/>
    <row r="366" ht="13.15"/>
    <row r="367" ht="13.15"/>
    <row r="368" ht="13.15"/>
    <row r="369" ht="13.15"/>
    <row r="370" ht="13.15"/>
    <row r="371" ht="13.15"/>
    <row r="372" ht="13.15"/>
    <row r="373" ht="13.15"/>
    <row r="374" ht="13.15"/>
    <row r="375" ht="13.15"/>
    <row r="376" ht="13.15"/>
    <row r="377" ht="13.15"/>
    <row r="378" ht="13.15"/>
    <row r="379" ht="13.15"/>
    <row r="380" ht="13.15"/>
    <row r="381" ht="13.15"/>
    <row r="382" ht="13.15"/>
    <row r="383" ht="13.15"/>
    <row r="384" ht="13.15"/>
    <row r="385" ht="13.15"/>
    <row r="386" ht="13.15"/>
    <row r="387" ht="13.15"/>
    <row r="388" ht="13.15"/>
    <row r="389" ht="13.15"/>
    <row r="390" ht="13.15"/>
    <row r="391" ht="13.15"/>
    <row r="392" ht="13.15"/>
    <row r="393" ht="13.15"/>
    <row r="394" ht="13.15"/>
    <row r="395" ht="13.15"/>
    <row r="396" ht="13.15"/>
    <row r="397" ht="13.15"/>
    <row r="398" ht="13.15"/>
    <row r="399" ht="13.15"/>
    <row r="400" ht="13.15"/>
    <row r="401" ht="13.15"/>
    <row r="402" ht="13.15"/>
    <row r="403" ht="13.15"/>
    <row r="404" ht="13.15"/>
    <row r="405" ht="13.15"/>
    <row r="406" ht="13.15"/>
    <row r="407" ht="13.15"/>
    <row r="408" ht="13.15"/>
    <row r="409" ht="13.15"/>
    <row r="410" ht="13.15"/>
    <row r="411" ht="13.15"/>
    <row r="412" ht="13.15"/>
    <row r="413" ht="13.15"/>
    <row r="414" ht="13.15"/>
    <row r="415" ht="13.15"/>
    <row r="416" ht="13.15"/>
    <row r="417" ht="13.15"/>
    <row r="418" ht="13.15"/>
    <row r="419" ht="13.15"/>
    <row r="420" ht="13.15"/>
    <row r="421" ht="13.15"/>
    <row r="422" ht="13.15"/>
    <row r="423" ht="13.15"/>
    <row r="424" ht="13.15"/>
    <row r="425" ht="13.15"/>
    <row r="426" ht="13.15"/>
    <row r="427" ht="13.15"/>
    <row r="428" ht="13.15"/>
    <row r="429" ht="13.15"/>
    <row r="430" ht="13.15"/>
    <row r="431" ht="13.15"/>
    <row r="432" ht="13.15"/>
    <row r="433" ht="13.15"/>
    <row r="434" ht="13.15"/>
    <row r="435" ht="13.15"/>
    <row r="436" ht="13.15"/>
    <row r="437" ht="13.15"/>
    <row r="438" ht="13.15"/>
    <row r="439" ht="13.15"/>
    <row r="440" ht="13.15"/>
    <row r="441" ht="13.15"/>
    <row r="442" ht="13.15"/>
    <row r="443" ht="13.15"/>
    <row r="444" ht="13.15"/>
    <row r="445" ht="13.15"/>
    <row r="446" ht="13.15"/>
    <row r="447" ht="13.15"/>
    <row r="448" ht="13.15"/>
    <row r="449" ht="13.15"/>
    <row r="450" ht="13.15"/>
    <row r="451" ht="13.15"/>
    <row r="452" ht="13.15"/>
    <row r="453" ht="13.15"/>
    <row r="454" ht="13.15"/>
    <row r="455" ht="13.15"/>
    <row r="456" ht="13.15"/>
    <row r="457" ht="13.15"/>
    <row r="458" ht="13.15"/>
    <row r="459" ht="13.15"/>
    <row r="460" ht="13.15"/>
    <row r="461" ht="13.15"/>
    <row r="462" ht="13.15"/>
    <row r="463" ht="13.15"/>
    <row r="464" ht="13.15"/>
    <row r="465" ht="13.15"/>
    <row r="466" ht="13.15"/>
    <row r="467" ht="13.15"/>
    <row r="468" ht="13.15"/>
    <row r="469" ht="13.15"/>
    <row r="470" ht="13.15"/>
    <row r="471" ht="13.15"/>
    <row r="472" ht="13.15"/>
    <row r="473" ht="13.15"/>
    <row r="474" ht="13.15"/>
    <row r="475" ht="13.15"/>
    <row r="476" ht="13.15"/>
    <row r="477" ht="13.15"/>
    <row r="478" ht="13.15"/>
    <row r="479" ht="13.15"/>
    <row r="480" ht="13.15"/>
    <row r="481" ht="13.15"/>
    <row r="482" ht="13.15"/>
    <row r="483" ht="13.15"/>
    <row r="484" ht="13.15"/>
    <row r="485" ht="13.15"/>
    <row r="486" ht="13.15"/>
    <row r="487" ht="13.15"/>
    <row r="488" ht="13.15"/>
    <row r="489" ht="13.15"/>
    <row r="490" ht="13.15"/>
    <row r="491" ht="13.15"/>
    <row r="492" ht="13.15"/>
    <row r="493" ht="13.15"/>
    <row r="494" ht="13.15"/>
    <row r="495" ht="13.15"/>
    <row r="496" ht="13.15"/>
    <row r="497" ht="13.15"/>
    <row r="498" ht="13.15"/>
    <row r="499" ht="13.15"/>
    <row r="500" ht="13.15"/>
    <row r="501" ht="13.15"/>
    <row r="502" ht="13.15"/>
    <row r="503" ht="13.15"/>
    <row r="504" ht="13.15"/>
    <row r="505" ht="13.15"/>
    <row r="506" ht="13.15"/>
    <row r="507" ht="13.15"/>
    <row r="508" ht="13.15"/>
    <row r="509" ht="13.15"/>
    <row r="510" ht="13.15"/>
    <row r="511" ht="13.15"/>
    <row r="512" ht="13.15"/>
    <row r="513" ht="13.15"/>
    <row r="514" ht="13.15"/>
    <row r="515" ht="13.15"/>
    <row r="516" ht="13.15"/>
    <row r="517" ht="13.15"/>
    <row r="518" ht="13.15"/>
    <row r="519" ht="13.15"/>
    <row r="520" ht="13.15"/>
    <row r="521" ht="13.15"/>
    <row r="522" ht="13.15"/>
    <row r="523" ht="13.15"/>
    <row r="524" ht="13.15"/>
    <row r="525" ht="13.15"/>
    <row r="526" ht="13.15"/>
    <row r="527" ht="13.15"/>
    <row r="528" ht="13.15"/>
    <row r="529" ht="13.15"/>
    <row r="530" ht="13.15"/>
    <row r="531" ht="13.15"/>
    <row r="532" ht="13.15"/>
    <row r="533" ht="13.15"/>
    <row r="534" ht="13.15"/>
    <row r="535" ht="13.15"/>
    <row r="536" ht="13.15"/>
    <row r="537" ht="13.15"/>
    <row r="538" ht="13.15"/>
    <row r="539" ht="13.15"/>
    <row r="540" ht="13.15"/>
    <row r="541" ht="13.15"/>
    <row r="542" ht="13.15"/>
    <row r="543" ht="13.15"/>
    <row r="544" ht="13.15"/>
    <row r="545" ht="13.15"/>
    <row r="546" ht="13.15"/>
    <row r="547" ht="13.15"/>
    <row r="548" ht="13.15"/>
    <row r="549" ht="13.15"/>
    <row r="550" ht="13.15"/>
    <row r="551" ht="13.15"/>
    <row r="552" ht="13.15"/>
    <row r="553" ht="13.15"/>
    <row r="554" ht="13.15"/>
    <row r="555" ht="13.15"/>
    <row r="556" ht="13.15"/>
    <row r="557" ht="13.15"/>
    <row r="558" ht="13.15"/>
    <row r="559" ht="13.15"/>
    <row r="560" ht="13.15"/>
    <row r="561" ht="13.15"/>
    <row r="562" ht="13.15"/>
    <row r="563" ht="13.15"/>
    <row r="564" ht="13.15"/>
    <row r="565" ht="13.15"/>
    <row r="566" ht="13.15"/>
    <row r="567" ht="13.15"/>
    <row r="568" ht="13.15"/>
    <row r="569" ht="13.15"/>
    <row r="570" ht="13.15"/>
    <row r="571" ht="13.15"/>
    <row r="572" ht="13.15"/>
    <row r="573" ht="13.15"/>
    <row r="574" ht="13.15"/>
    <row r="575" ht="13.15"/>
    <row r="576" ht="13.15"/>
    <row r="577" ht="13.15"/>
    <row r="578" ht="13.15"/>
    <row r="579" ht="13.15"/>
    <row r="580" ht="13.15"/>
    <row r="581" ht="13.15"/>
    <row r="582" ht="13.15"/>
    <row r="583" ht="13.15"/>
    <row r="584" ht="13.15"/>
    <row r="585" ht="13.15"/>
    <row r="586" ht="13.15"/>
    <row r="587" ht="13.15"/>
    <row r="588" ht="13.15"/>
    <row r="589" ht="13.15"/>
    <row r="590" ht="13.15"/>
    <row r="591" ht="13.15"/>
    <row r="592" ht="13.15"/>
    <row r="593" ht="13.15"/>
    <row r="594" ht="13.15"/>
    <row r="595" ht="13.15"/>
    <row r="596" ht="13.15"/>
    <row r="597" ht="13.15"/>
    <row r="598" ht="13.15"/>
    <row r="599" ht="13.15"/>
    <row r="600" ht="13.15"/>
    <row r="601" ht="13.15"/>
    <row r="602" ht="13.15"/>
    <row r="603" ht="13.15"/>
    <row r="604" ht="13.15"/>
    <row r="605" ht="13.15"/>
    <row r="606" ht="13.15"/>
    <row r="607" ht="13.15"/>
    <row r="608" ht="13.15"/>
    <row r="609" ht="13.15"/>
    <row r="610" ht="13.15"/>
    <row r="611" ht="13.15"/>
    <row r="612" ht="13.15"/>
    <row r="613" ht="13.15"/>
    <row r="614" ht="13.15"/>
    <row r="615" ht="13.15"/>
    <row r="616" ht="13.15"/>
    <row r="617" ht="13.15"/>
    <row r="618" ht="13.15"/>
    <row r="619" ht="13.15"/>
    <row r="620" ht="13.15"/>
    <row r="621" ht="13.15"/>
    <row r="622" ht="13.15"/>
    <row r="623" ht="13.15"/>
    <row r="624" ht="13.15"/>
    <row r="625" ht="13.15"/>
    <row r="626" ht="13.15"/>
    <row r="627" ht="13.15"/>
    <row r="628" ht="13.15"/>
    <row r="629" ht="13.15"/>
    <row r="630" ht="13.15"/>
    <row r="631" ht="13.15"/>
    <row r="632" ht="13.15"/>
    <row r="633" ht="13.15"/>
    <row r="634" ht="13.15"/>
    <row r="635" ht="13.15"/>
    <row r="636" ht="13.15"/>
    <row r="637" ht="13.15"/>
    <row r="638" ht="13.15"/>
    <row r="639" ht="13.15"/>
    <row r="640" ht="13.15"/>
    <row r="641" ht="13.15"/>
    <row r="642" ht="13.15"/>
    <row r="643" ht="13.15"/>
    <row r="644" ht="13.15"/>
    <row r="645" ht="13.15"/>
    <row r="646" ht="13.15"/>
    <row r="647" ht="13.15"/>
    <row r="648" ht="13.15"/>
    <row r="649" ht="13.15"/>
    <row r="650" ht="13.15"/>
    <row r="651" ht="13.15"/>
    <row r="652" ht="13.15"/>
    <row r="653" ht="13.15"/>
    <row r="654" ht="13.15"/>
    <row r="655" ht="13.15"/>
    <row r="656" ht="13.15"/>
    <row r="657" ht="13.15"/>
    <row r="658" ht="13.15"/>
    <row r="659" ht="13.15"/>
    <row r="660" ht="13.15"/>
    <row r="661" ht="13.15"/>
    <row r="662" ht="13.15"/>
    <row r="663" ht="13.15"/>
    <row r="664" ht="13.15"/>
    <row r="665" ht="13.15"/>
    <row r="666" ht="13.15"/>
    <row r="667" ht="13.15"/>
    <row r="668" ht="13.15"/>
    <row r="669" ht="13.15"/>
    <row r="670" ht="13.15"/>
    <row r="671" ht="13.15"/>
    <row r="672" ht="13.15"/>
    <row r="673" ht="13.15"/>
    <row r="674" ht="13.15"/>
    <row r="675" ht="13.15"/>
    <row r="676" ht="13.15"/>
    <row r="677" ht="13.15"/>
    <row r="678" ht="13.15"/>
    <row r="679" ht="13.15"/>
    <row r="680" ht="13.15"/>
    <row r="681" ht="13.15"/>
    <row r="682" ht="13.15"/>
    <row r="683" ht="13.15"/>
    <row r="684" ht="13.15"/>
    <row r="685" ht="13.15"/>
    <row r="686" ht="13.15"/>
    <row r="687" ht="13.15"/>
    <row r="688" ht="13.15"/>
    <row r="689" ht="13.15"/>
    <row r="690" ht="13.15"/>
    <row r="691" ht="13.15"/>
    <row r="692" ht="13.15"/>
    <row r="693" ht="13.15"/>
    <row r="694" ht="13.15"/>
    <row r="695" ht="13.15"/>
    <row r="696" ht="13.15"/>
    <row r="697" ht="13.15"/>
    <row r="698" ht="13.15"/>
    <row r="699" ht="13.15"/>
    <row r="700" ht="13.15"/>
    <row r="701" ht="13.15"/>
    <row r="702" ht="13.15"/>
    <row r="703" ht="13.15"/>
    <row r="704" ht="13.15"/>
    <row r="705" ht="13.15"/>
    <row r="706" ht="13.15"/>
    <row r="707" ht="13.15"/>
    <row r="708" ht="13.15"/>
    <row r="709" ht="13.15"/>
    <row r="710" ht="13.15"/>
    <row r="711" ht="13.15"/>
    <row r="712" ht="13.15"/>
    <row r="713" ht="13.15"/>
    <row r="714" ht="13.15"/>
    <row r="715" ht="13.15"/>
    <row r="716" ht="13.15"/>
    <row r="717" ht="13.15"/>
    <row r="718" ht="13.15"/>
    <row r="719" ht="13.15"/>
    <row r="720" ht="13.15"/>
    <row r="721" ht="13.15"/>
    <row r="722" ht="13.15"/>
    <row r="723" ht="13.15"/>
    <row r="724" ht="13.15"/>
    <row r="725" ht="13.15"/>
    <row r="726" ht="13.15"/>
    <row r="727" ht="13.15"/>
    <row r="728" ht="13.15"/>
    <row r="729" ht="13.15"/>
    <row r="730" ht="13.15"/>
    <row r="731" ht="13.15"/>
    <row r="732" ht="13.15"/>
    <row r="733" ht="13.15"/>
    <row r="734" ht="13.15"/>
    <row r="735" ht="13.15"/>
    <row r="736" ht="13.15"/>
    <row r="737" ht="13.15"/>
    <row r="738" ht="13.15"/>
    <row r="739" ht="13.15"/>
    <row r="740" ht="13.15"/>
    <row r="741" ht="13.15"/>
    <row r="742" ht="13.15"/>
    <row r="743" ht="13.15"/>
    <row r="744" ht="13.15"/>
    <row r="745" ht="13.15"/>
    <row r="746" ht="13.15"/>
    <row r="747" ht="13.15"/>
    <row r="748" ht="13.15"/>
    <row r="749" ht="13.15"/>
    <row r="750" ht="13.15"/>
    <row r="751" ht="13.15"/>
    <row r="752" ht="13.15"/>
    <row r="753" ht="13.15"/>
    <row r="754" ht="13.15"/>
    <row r="755" ht="13.15"/>
    <row r="756" ht="13.15"/>
    <row r="757" ht="13.15"/>
    <row r="758" ht="13.15"/>
    <row r="759" ht="13.15"/>
    <row r="760" ht="13.15"/>
    <row r="761" ht="13.15"/>
    <row r="762" ht="13.15"/>
    <row r="763" ht="13.15"/>
    <row r="764" ht="13.15"/>
    <row r="765" ht="13.15"/>
    <row r="766" ht="13.15"/>
    <row r="767" ht="13.15"/>
    <row r="768" ht="13.15"/>
    <row r="769" ht="13.15"/>
    <row r="770" ht="13.15"/>
    <row r="771" ht="13.15"/>
    <row r="772" ht="13.15"/>
    <row r="773" ht="13.15"/>
    <row r="774" ht="13.15"/>
    <row r="775" ht="13.15"/>
    <row r="776" ht="13.15"/>
    <row r="777" ht="13.15"/>
    <row r="778" ht="13.15"/>
    <row r="779" ht="13.15"/>
    <row r="780" ht="13.15"/>
    <row r="781" ht="13.15"/>
    <row r="782" ht="13.15"/>
    <row r="783" ht="13.15"/>
    <row r="784" ht="13.15"/>
    <row r="785" ht="13.15"/>
    <row r="786" ht="13.15"/>
    <row r="787" ht="13.15"/>
    <row r="788" ht="13.15"/>
    <row r="789" ht="13.15"/>
    <row r="790" ht="13.15"/>
    <row r="791" ht="13.15"/>
    <row r="792" ht="13.15"/>
    <row r="793" ht="13.15"/>
    <row r="794" ht="13.15"/>
    <row r="795" ht="13.15"/>
    <row r="796" ht="13.15"/>
    <row r="797" ht="13.15"/>
    <row r="798" ht="13.15"/>
    <row r="799" ht="13.15"/>
    <row r="800" ht="13.15"/>
    <row r="801" ht="13.15"/>
    <row r="802" ht="13.15"/>
    <row r="803" ht="13.15"/>
    <row r="804" ht="13.15"/>
    <row r="805" ht="13.15"/>
    <row r="806" ht="13.15"/>
    <row r="807" ht="13.15"/>
    <row r="808" ht="13.15"/>
    <row r="809" ht="13.15"/>
    <row r="810" ht="13.15"/>
    <row r="811" ht="13.15"/>
    <row r="812" ht="13.15"/>
    <row r="813" ht="13.15"/>
    <row r="814" ht="13.15"/>
    <row r="815" ht="13.15"/>
    <row r="816" ht="13.15"/>
    <row r="817" ht="13.15"/>
    <row r="818" ht="13.15"/>
    <row r="819" ht="13.15"/>
    <row r="820" ht="13.15"/>
    <row r="821" ht="13.15"/>
    <row r="822" ht="13.15"/>
    <row r="823" ht="13.15"/>
    <row r="824" ht="13.15"/>
    <row r="825" ht="13.15"/>
    <row r="826" ht="13.15"/>
    <row r="827" ht="13.15"/>
    <row r="828" ht="13.15"/>
    <row r="829" ht="13.15"/>
    <row r="830" ht="13.15"/>
    <row r="831" ht="13.15"/>
    <row r="832" ht="13.15"/>
    <row r="833" ht="13.15"/>
    <row r="834" ht="13.15"/>
    <row r="835" ht="13.15"/>
    <row r="836" ht="13.15"/>
    <row r="837" ht="13.15"/>
    <row r="838" ht="13.15"/>
    <row r="839" ht="13.15"/>
    <row r="840" ht="13.15"/>
    <row r="841" ht="13.15"/>
    <row r="842" ht="13.15"/>
    <row r="843" ht="13.15"/>
    <row r="844" ht="13.15"/>
    <row r="845" ht="13.15"/>
    <row r="846" ht="13.15"/>
    <row r="847" ht="13.15"/>
    <row r="848" ht="13.15"/>
    <row r="849" ht="13.15"/>
    <row r="850" ht="13.15"/>
    <row r="851" ht="13.15"/>
    <row r="852" ht="13.15"/>
    <row r="853" ht="13.15"/>
    <row r="854" ht="13.15"/>
    <row r="855" ht="13.15"/>
    <row r="856" ht="13.15"/>
    <row r="857" ht="13.15"/>
    <row r="858" ht="13.15"/>
    <row r="859" ht="13.15"/>
    <row r="860" ht="13.15"/>
    <row r="861" ht="13.15"/>
    <row r="862" ht="13.15"/>
    <row r="863" ht="13.15"/>
    <row r="864" ht="13.15"/>
    <row r="865" ht="13.15"/>
    <row r="866" ht="13.15"/>
    <row r="867" ht="13.15"/>
    <row r="868" ht="13.15"/>
    <row r="869" ht="13.15"/>
    <row r="870" ht="13.15"/>
    <row r="871" ht="13.15"/>
    <row r="872" ht="13.15"/>
    <row r="873" ht="13.15"/>
    <row r="874" ht="13.15"/>
    <row r="875" ht="13.15"/>
    <row r="876" ht="13.15"/>
    <row r="877" ht="13.15"/>
    <row r="878" ht="13.15"/>
    <row r="879" ht="13.15"/>
    <row r="880" ht="13.15"/>
    <row r="881" ht="13.15"/>
    <row r="882" ht="13.15"/>
    <row r="883" ht="13.15"/>
    <row r="884" ht="13.15"/>
    <row r="885" ht="13.15"/>
    <row r="886" ht="13.15"/>
    <row r="887" ht="13.15"/>
    <row r="888" ht="13.15"/>
    <row r="889" ht="13.15"/>
    <row r="890" ht="13.15"/>
    <row r="891" ht="13.15"/>
    <row r="892" ht="13.15"/>
    <row r="893" ht="13.15"/>
    <row r="894" ht="13.15"/>
    <row r="895" ht="13.15"/>
    <row r="896" ht="13.15"/>
    <row r="897" ht="13.15"/>
    <row r="898" ht="13.15"/>
    <row r="899" ht="13.15"/>
    <row r="900" ht="13.15"/>
    <row r="901" ht="13.15"/>
    <row r="902" ht="13.15"/>
    <row r="903" ht="13.15"/>
    <row r="904" ht="13.15"/>
    <row r="905" ht="13.15"/>
    <row r="906" ht="13.15"/>
    <row r="907" ht="13.15"/>
    <row r="908" ht="13.15"/>
    <row r="909" ht="13.15"/>
    <row r="910" ht="13.15"/>
    <row r="911" ht="13.15"/>
    <row r="912" ht="13.15"/>
    <row r="913" ht="13.15"/>
    <row r="914" ht="13.15"/>
    <row r="915" ht="13.15"/>
    <row r="916" ht="13.15"/>
    <row r="917" ht="13.15"/>
    <row r="918" ht="13.15"/>
    <row r="919" ht="13.15"/>
    <row r="920" ht="13.15"/>
    <row r="921" ht="13.15"/>
    <row r="922" ht="13.15"/>
    <row r="923" ht="13.15"/>
    <row r="924" ht="13.15"/>
    <row r="925" ht="13.15"/>
    <row r="926" ht="13.15"/>
    <row r="927" ht="13.15"/>
    <row r="928" ht="13.15"/>
    <row r="929" ht="13.15"/>
    <row r="930" ht="13.15"/>
    <row r="931" ht="13.15"/>
    <row r="932" ht="13.15"/>
    <row r="933" ht="13.15"/>
    <row r="934" ht="13.15"/>
    <row r="935" ht="13.15"/>
    <row r="936" ht="13.15"/>
    <row r="937" ht="13.15"/>
    <row r="938" ht="13.15"/>
    <row r="939" ht="13.15"/>
    <row r="940" ht="13.15"/>
    <row r="941" ht="13.15"/>
    <row r="942" ht="13.15"/>
    <row r="943" ht="13.15"/>
    <row r="944" ht="13.15"/>
    <row r="945" ht="13.15"/>
    <row r="946" ht="13.15"/>
    <row r="947" ht="13.15"/>
    <row r="948" ht="13.15"/>
    <row r="949" ht="13.15"/>
    <row r="950" ht="13.15"/>
    <row r="951" ht="13.15"/>
    <row r="952" ht="13.15"/>
    <row r="953" ht="13.15"/>
    <row r="954" ht="13.15"/>
    <row r="955" ht="13.15"/>
    <row r="956" ht="13.15"/>
    <row r="957" ht="13.15"/>
    <row r="958" ht="13.15"/>
    <row r="959" ht="13.15"/>
    <row r="960" ht="13.15"/>
    <row r="961" ht="13.15"/>
    <row r="962" ht="13.15"/>
    <row r="963" ht="13.15"/>
    <row r="964" ht="13.15"/>
    <row r="965" ht="13.15"/>
    <row r="966" ht="13.15"/>
    <row r="967" ht="13.15"/>
    <row r="968" ht="13.15"/>
    <row r="969" ht="13.15"/>
    <row r="970" ht="13.15"/>
    <row r="971" ht="13.15"/>
    <row r="972" ht="13.15"/>
    <row r="973" ht="13.15"/>
    <row r="974" ht="13.15"/>
    <row r="975" ht="13.15"/>
    <row r="976" ht="13.15"/>
    <row r="977" ht="13.15"/>
    <row r="978" ht="13.15"/>
    <row r="979" ht="13.15"/>
    <row r="980" ht="13.15"/>
    <row r="981" ht="13.15"/>
    <row r="982" ht="13.15"/>
    <row r="983" ht="13.15"/>
    <row r="984" ht="13.15"/>
    <row r="985" ht="13.15"/>
    <row r="986" ht="13.15"/>
    <row r="987" ht="13.15"/>
    <row r="988" ht="13.15"/>
    <row r="989" ht="13.15"/>
    <row r="990" ht="13.15"/>
    <row r="991" ht="13.15"/>
    <row r="992" ht="13.15"/>
    <row r="993" ht="13.15"/>
    <row r="994" ht="13.15"/>
    <row r="995" ht="13.15"/>
    <row r="996" ht="13.15"/>
    <row r="997" ht="13.15"/>
    <row r="998" ht="13.15"/>
    <row r="999" ht="13.15"/>
    <row r="1000" ht="13.15"/>
    <row r="1001" ht="13.15"/>
    <row r="1002" ht="13.15"/>
    <row r="1003" ht="13.15"/>
    <row r="1004" ht="13.15"/>
  </sheetData>
  <sheetProtection algorithmName="SHA-512" hashValue="46Pr29yHf6zAXMFdXQgUABfVE3g5QhV+7gpfmbDTe6WthwZ4Yb7ijmYj+IFKCG7PfI/BEmRm2P+Ed0dT65hI5Q==" saltValue="VXZ9qOsKCQdsgFGidrQVBw==" spinCount="100000" sheet="1" objects="1" scenarios="1" selectLockedCells="1"/>
  <mergeCells count="1">
    <mergeCell ref="A27:D27"/>
  </mergeCells>
  <conditionalFormatting sqref="H17 H15:I16">
    <cfRule type="cellIs" dxfId="11" priority="47" operator="equal">
      <formula>"X"</formula>
    </cfRule>
  </conditionalFormatting>
  <conditionalFormatting sqref="H19 H18:I18 I17:J17 J16:K16">
    <cfRule type="cellIs" dxfId="10" priority="46" operator="equal">
      <formula>"X"</formula>
    </cfRule>
  </conditionalFormatting>
  <conditionalFormatting sqref="L16 K17:L17 J18:L18 I19:L19">
    <cfRule type="cellIs" dxfId="9" priority="45" operator="equal">
      <formula>"X"</formula>
    </cfRule>
  </conditionalFormatting>
  <conditionalFormatting sqref="K15">
    <cfRule type="cellIs" dxfId="8" priority="44" operator="equal">
      <formula>"X"</formula>
    </cfRule>
  </conditionalFormatting>
  <conditionalFormatting sqref="J15">
    <cfRule type="cellIs" dxfId="7" priority="2" operator="equal">
      <formula>"X"</formula>
    </cfRule>
  </conditionalFormatting>
  <conditionalFormatting sqref="L15">
    <cfRule type="cellIs" dxfId="6" priority="1" operator="equal">
      <formula>"X"</formula>
    </cfRule>
  </conditionalFormatting>
  <hyperlinks>
    <hyperlink ref="A2" r:id="rId1" xr:uid="{00000000-0004-0000-0B00-000000000000}"/>
  </hyperlinks>
  <pageMargins left="0.7" right="0.7" top="0.75" bottom="0.75" header="0.3" footer="0.3"/>
  <pageSetup orientation="portrait" r:id="rId2"/>
  <headerFooter>
    <oddHeader>&amp;C&amp;K00B050Vulnerability Assessment Tool, Food Fraud Advisors 2017</oddHeader>
    <oddFooter>&amp;CInsert your company's standard document control features here</oddFooter>
  </headerFooter>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Vulnerability Assessment Tool</dc:title>
  <dc:subject/>
  <dc:creator>Food Fraud Advisors</dc:creator>
  <cp:keywords/>
  <dc:description/>
  <cp:lastModifiedBy>BeMyFriend Project</cp:lastModifiedBy>
  <cp:revision/>
  <dcterms:created xsi:type="dcterms:W3CDTF">2015-10-02T21:28:32Z</dcterms:created>
  <dcterms:modified xsi:type="dcterms:W3CDTF">2021-12-22T07:29:47Z</dcterms:modified>
  <cp:category/>
  <cp:contentStatus/>
</cp:coreProperties>
</file>